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040_交通対策\B010_自転車グループ\C080_広報・ホームページ\D141_R7\R8.1_街づくり条例第47条基準\"/>
    </mc:Choice>
  </mc:AlternateContent>
  <xr:revisionPtr revIDLastSave="0" documentId="13_ncr:1_{39485774-B32A-4EF2-A1F5-7BA3828B661B}" xr6:coauthVersionLast="47" xr6:coauthVersionMax="47" xr10:uidLastSave="{00000000-0000-0000-0000-000000000000}"/>
  <bookViews>
    <workbookView xWindow="-120" yWindow="-120" windowWidth="20730" windowHeight="11160" xr2:uid="{0E8BA6AA-5C0B-4118-AD2D-A5CBF649B403}"/>
  </bookViews>
  <sheets>
    <sheet name="①入力フォーム" sheetId="1" r:id="rId1"/>
    <sheet name="②提出書類(①入力後、印刷して防犯交通安全課に提出）" sheetId="5" r:id="rId2"/>
    <sheet name="入力フォームリスト" sheetId="3" state="hidden" r:id="rId3"/>
    <sheet name="計算" sheetId="4" state="hidden" r:id="rId4"/>
  </sheets>
  <definedNames>
    <definedName name="株式会社富晴代表取締役_富田譲治">#REF!</definedName>
    <definedName name="貫井弘久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8" i="5"/>
  <c r="J11" i="1"/>
  <c r="H11" i="1"/>
  <c r="K23" i="1"/>
  <c r="H26" i="1"/>
  <c r="I11" i="1"/>
  <c r="K24" i="1"/>
  <c r="I26" i="1"/>
  <c r="I29" i="1"/>
  <c r="I33" i="1"/>
  <c r="K19" i="1"/>
  <c r="H33" i="1"/>
  <c r="AR8" i="5"/>
  <c r="AB24" i="5"/>
  <c r="M22" i="5"/>
  <c r="P28" i="5"/>
  <c r="M17" i="5"/>
  <c r="P29" i="5"/>
  <c r="M19" i="5"/>
  <c r="AN18" i="5"/>
  <c r="AB20" i="5"/>
  <c r="AQ20" i="5"/>
  <c r="A2" i="4"/>
  <c r="E3" i="4"/>
  <c r="E4" i="4"/>
  <c r="E5" i="4"/>
  <c r="E6" i="4"/>
  <c r="E7" i="4"/>
  <c r="H48" i="1"/>
  <c r="A51" i="1"/>
  <c r="J33" i="1"/>
  <c r="L34" i="1"/>
  <c r="L33" i="1"/>
  <c r="AA19" i="5"/>
  <c r="B13" i="4"/>
  <c r="B14" i="4"/>
  <c r="B15" i="4"/>
  <c r="BK8" i="5"/>
  <c r="AZ8" i="5"/>
  <c r="X8" i="5"/>
  <c r="C15" i="4"/>
  <c r="C13" i="4"/>
  <c r="D13" i="4"/>
  <c r="B9" i="4"/>
  <c r="BQ18" i="5"/>
  <c r="H43" i="1"/>
  <c r="B5" i="4"/>
  <c r="B3" i="4"/>
  <c r="AC43" i="5"/>
  <c r="AN43" i="5"/>
  <c r="BT43" i="5"/>
  <c r="V49" i="5"/>
  <c r="M43" i="5"/>
  <c r="M45" i="5"/>
  <c r="P46" i="5"/>
  <c r="B4" i="4"/>
  <c r="AC47" i="5"/>
  <c r="AN47" i="5"/>
  <c r="BC48" i="5"/>
  <c r="AJ48" i="5"/>
  <c r="BM47" i="5"/>
  <c r="B6" i="4"/>
  <c r="BW47" i="5"/>
  <c r="BD43" i="5"/>
  <c r="B26" i="4"/>
  <c r="C26" i="4"/>
  <c r="D26" i="4"/>
  <c r="D27" i="4"/>
  <c r="J48" i="1"/>
  <c r="B24" i="4"/>
  <c r="B25" i="4"/>
  <c r="C24" i="4"/>
  <c r="C27" i="4"/>
  <c r="I48" i="1"/>
  <c r="BU38" i="5"/>
  <c r="S39" i="5"/>
  <c r="AV39" i="5"/>
  <c r="BF39" i="5"/>
  <c r="S38" i="5"/>
  <c r="BF38" i="5"/>
  <c r="AO33" i="5"/>
  <c r="BN31" i="5"/>
  <c r="AV31" i="5"/>
  <c r="BQ23" i="5"/>
  <c r="AD31" i="5"/>
  <c r="J31" i="5"/>
  <c r="AQ25" i="5"/>
  <c r="P26" i="5"/>
  <c r="H51" i="1"/>
  <c r="BU9" i="5"/>
  <c r="BG9" i="5"/>
  <c r="C3" i="4"/>
  <c r="C4" i="4"/>
  <c r="C5" i="4"/>
  <c r="C6" i="4"/>
  <c r="AR9" i="5"/>
  <c r="AJ9" i="5"/>
  <c r="V9" i="5"/>
  <c r="G9" i="5"/>
  <c r="B19" i="4"/>
  <c r="C19" i="4"/>
  <c r="C20" i="4"/>
  <c r="D19" i="4"/>
  <c r="BT8" i="5"/>
  <c r="AI8" i="5"/>
  <c r="H3" i="5"/>
  <c r="D15" i="4"/>
  <c r="D14" i="4"/>
  <c r="AG3" i="5"/>
  <c r="C14" i="4"/>
  <c r="AQ3" i="5"/>
  <c r="B10" i="4"/>
  <c r="AG4" i="5"/>
  <c r="U4" i="5"/>
  <c r="U3" i="5"/>
  <c r="BD33" i="5"/>
  <c r="AQ24" i="5"/>
  <c r="J26" i="1"/>
  <c r="I35" i="1"/>
  <c r="D3" i="4"/>
  <c r="D4" i="4"/>
  <c r="D5" i="4"/>
  <c r="D6" i="4"/>
  <c r="H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</author>
  </authors>
  <commentList>
    <comment ref="AR8" authorId="0" shapeId="0" xr:uid="{7D4C250C-5EE0-4984-8D42-51FE1A83CEB2}">
      <text>
        <r>
          <rPr>
            <sz val="11"/>
            <color indexed="81"/>
            <rFont val="BIZ UDPゴシック"/>
            <family val="3"/>
            <charset val="128"/>
          </rPr>
          <t>大店立地の場合は手書きで台数を記載してください。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Q20" authorId="0" shapeId="0" xr:uid="{707F6ACF-04CD-4F02-93E9-A5C5E2E4C816}">
      <text>
        <r>
          <rPr>
            <b/>
            <sz val="11"/>
            <color indexed="81"/>
            <rFont val="BIZ UDPゴシック"/>
            <family val="3"/>
            <charset val="128"/>
          </rPr>
          <t>該当する場合は選択してください。</t>
        </r>
      </text>
    </comment>
  </commentList>
</comments>
</file>

<file path=xl/sharedStrings.xml><?xml version="1.0" encoding="utf-8"?>
<sst xmlns="http://schemas.openxmlformats.org/spreadsheetml/2006/main" count="326" uniqueCount="207">
  <si>
    <t>その他地域</t>
    <rPh sb="2" eb="3">
      <t>タ</t>
    </rPh>
    <rPh sb="3" eb="5">
      <t>チイキ</t>
    </rPh>
    <phoneticPr fontId="1"/>
  </si>
  <si>
    <t>商業・近隣商業地域</t>
    <rPh sb="3" eb="5">
      <t>キンリン</t>
    </rPh>
    <rPh sb="5" eb="7">
      <t>ショウギョウ</t>
    </rPh>
    <rPh sb="7" eb="9">
      <t>チイキ</t>
    </rPh>
    <phoneticPr fontId="2"/>
  </si>
  <si>
    <t>入力欄</t>
    <rPh sb="0" eb="2">
      <t>ニュウリョク</t>
    </rPh>
    <rPh sb="2" eb="3">
      <t>ラン</t>
    </rPh>
    <phoneticPr fontId="2"/>
  </si>
  <si>
    <t>共同住宅・長屋住宅（ア）</t>
    <rPh sb="0" eb="2">
      <t>キョウドウ</t>
    </rPh>
    <rPh sb="2" eb="4">
      <t>ジュウタク</t>
    </rPh>
    <rPh sb="5" eb="9">
      <t>ナガヤジュウタク</t>
    </rPh>
    <phoneticPr fontId="6"/>
  </si>
  <si>
    <t>住宅(ア)と特定用途(イ)の複合</t>
    <rPh sb="0" eb="2">
      <t>ジュウタク</t>
    </rPh>
    <rPh sb="6" eb="8">
      <t>トクテイ</t>
    </rPh>
    <rPh sb="8" eb="10">
      <t>ヨウト</t>
    </rPh>
    <rPh sb="14" eb="16">
      <t>フクゴウ</t>
    </rPh>
    <phoneticPr fontId="6"/>
  </si>
  <si>
    <t>百貨店その他の店舗(イ）</t>
    <rPh sb="0" eb="3">
      <t>ヒャッカテン</t>
    </rPh>
    <rPh sb="5" eb="6">
      <t>タ</t>
    </rPh>
    <rPh sb="7" eb="9">
      <t>テンポ</t>
    </rPh>
    <phoneticPr fontId="6"/>
  </si>
  <si>
    <t>飲食店・料理店・カフェー(イ)</t>
    <rPh sb="0" eb="2">
      <t>インショク</t>
    </rPh>
    <rPh sb="2" eb="3">
      <t>テン</t>
    </rPh>
    <rPh sb="4" eb="6">
      <t>リョウリ</t>
    </rPh>
    <rPh sb="6" eb="7">
      <t>テン</t>
    </rPh>
    <phoneticPr fontId="6"/>
  </si>
  <si>
    <t>事務所・倉庫・工場・卸売市場(イ)</t>
    <rPh sb="4" eb="6">
      <t>ソウコ</t>
    </rPh>
    <rPh sb="7" eb="9">
      <t>コウジョウ</t>
    </rPh>
    <phoneticPr fontId="6"/>
  </si>
  <si>
    <t>病院(入院施設有)(イ)</t>
    <rPh sb="0" eb="2">
      <t>ビョウイン</t>
    </rPh>
    <rPh sb="3" eb="5">
      <t>ニュウイン</t>
    </rPh>
    <rPh sb="5" eb="7">
      <t>シセツ</t>
    </rPh>
    <rPh sb="7" eb="8">
      <t>アリ</t>
    </rPh>
    <phoneticPr fontId="6"/>
  </si>
  <si>
    <t>遊技場・ボーリング場(イ)</t>
    <rPh sb="0" eb="3">
      <t>ユウギジョウ</t>
    </rPh>
    <phoneticPr fontId="6"/>
  </si>
  <si>
    <t>旅館・ホテル(イ)</t>
    <rPh sb="0" eb="2">
      <t>リョカン</t>
    </rPh>
    <phoneticPr fontId="6"/>
  </si>
  <si>
    <t>劇場・映画館・演芸場・観覧場(イ）</t>
    <rPh sb="0" eb="2">
      <t>ゲキジョウ</t>
    </rPh>
    <rPh sb="3" eb="6">
      <t>エイガカン</t>
    </rPh>
    <rPh sb="7" eb="9">
      <t>エンゲイ</t>
    </rPh>
    <rPh sb="9" eb="10">
      <t>ジョウ</t>
    </rPh>
    <rPh sb="11" eb="13">
      <t>カンラン</t>
    </rPh>
    <rPh sb="13" eb="14">
      <t>ジョウ</t>
    </rPh>
    <phoneticPr fontId="6"/>
  </si>
  <si>
    <t>結婚式場・斎場・展示場(イ）</t>
    <rPh sb="0" eb="2">
      <t>ケッコン</t>
    </rPh>
    <rPh sb="2" eb="4">
      <t>シキジョウ</t>
    </rPh>
    <rPh sb="5" eb="7">
      <t>サイジョウ</t>
    </rPh>
    <phoneticPr fontId="6"/>
  </si>
  <si>
    <t>集会場・公会堂・放送用スタジオ(イ）</t>
    <rPh sb="0" eb="3">
      <t>シュウカイジョウ</t>
    </rPh>
    <rPh sb="4" eb="7">
      <t>コウカイドウ</t>
    </rPh>
    <phoneticPr fontId="6"/>
  </si>
  <si>
    <t>バー・キャバレー・ナイトクラブ（イ）</t>
    <phoneticPr fontId="6"/>
  </si>
  <si>
    <t>舞踏場・体育館・待合(イ）</t>
    <rPh sb="0" eb="2">
      <t>ブトウ</t>
    </rPh>
    <rPh sb="2" eb="3">
      <t>ジョウ</t>
    </rPh>
    <rPh sb="4" eb="7">
      <t>タイイクカン</t>
    </rPh>
    <phoneticPr fontId="6"/>
  </si>
  <si>
    <t>該当しない</t>
    <rPh sb="0" eb="2">
      <t>ガイトウ</t>
    </rPh>
    <phoneticPr fontId="6"/>
  </si>
  <si>
    <t>（ア）</t>
    <phoneticPr fontId="2"/>
  </si>
  <si>
    <t>（イ）</t>
    <phoneticPr fontId="2"/>
  </si>
  <si>
    <t>（ア）（イ）
複合</t>
    <rPh sb="7" eb="9">
      <t>フクゴウ</t>
    </rPh>
    <phoneticPr fontId="2"/>
  </si>
  <si>
    <t>（ア）の総延べ床面積（㎡）</t>
    <rPh sb="4" eb="5">
      <t>ソウ</t>
    </rPh>
    <rPh sb="5" eb="6">
      <t>ノ</t>
    </rPh>
    <rPh sb="7" eb="10">
      <t>ユカメンセキ</t>
    </rPh>
    <phoneticPr fontId="2"/>
  </si>
  <si>
    <t>（イ）の総延べ床面積（㎡）</t>
    <rPh sb="4" eb="5">
      <t>ソウ</t>
    </rPh>
    <rPh sb="5" eb="6">
      <t>ノ</t>
    </rPh>
    <rPh sb="7" eb="8">
      <t>ユカ</t>
    </rPh>
    <rPh sb="8" eb="10">
      <t>メンセキ</t>
    </rPh>
    <phoneticPr fontId="2"/>
  </si>
  <si>
    <t>必要台数</t>
    <rPh sb="0" eb="2">
      <t>ヒツヨウ</t>
    </rPh>
    <rPh sb="2" eb="4">
      <t>ダイスウ</t>
    </rPh>
    <phoneticPr fontId="2"/>
  </si>
  <si>
    <t>する</t>
    <phoneticPr fontId="2"/>
  </si>
  <si>
    <t>しない</t>
    <phoneticPr fontId="2"/>
  </si>
  <si>
    <t>（参考）</t>
    <rPh sb="1" eb="3">
      <t>サンコウ</t>
    </rPh>
    <phoneticPr fontId="2"/>
  </si>
  <si>
    <t>自動車駐車場基準</t>
    <rPh sb="0" eb="3">
      <t>ジドウシャ</t>
    </rPh>
    <rPh sb="3" eb="5">
      <t>チュウシャ</t>
    </rPh>
    <rPh sb="5" eb="6">
      <t>ジョウ</t>
    </rPh>
    <rPh sb="6" eb="8">
      <t>キジュン</t>
    </rPh>
    <phoneticPr fontId="2"/>
  </si>
  <si>
    <t>共同住宅・長屋住宅</t>
    <phoneticPr fontId="2"/>
  </si>
  <si>
    <t>（ア）と（イ）の複合</t>
    <rPh sb="8" eb="10">
      <t>フクゴウ</t>
    </rPh>
    <phoneticPr fontId="2"/>
  </si>
  <si>
    <t>該当しない</t>
    <rPh sb="0" eb="2">
      <t>ガイトウ</t>
    </rPh>
    <phoneticPr fontId="2"/>
  </si>
  <si>
    <t>合計</t>
    <rPh sb="0" eb="2">
      <t>ゴウケイ</t>
    </rPh>
    <phoneticPr fontId="2"/>
  </si>
  <si>
    <t>見込み人数及び搬入車等の駐車台数で算出する</t>
    <rPh sb="0" eb="2">
      <t>ミコ</t>
    </rPh>
    <rPh sb="3" eb="5">
      <t>ニンズウ</t>
    </rPh>
    <rPh sb="5" eb="6">
      <t>オヨ</t>
    </rPh>
    <rPh sb="7" eb="9">
      <t>ハンニュウ</t>
    </rPh>
    <rPh sb="9" eb="10">
      <t>シャ</t>
    </rPh>
    <rPh sb="10" eb="11">
      <t>トウ</t>
    </rPh>
    <rPh sb="12" eb="14">
      <t>チュウシャ</t>
    </rPh>
    <rPh sb="14" eb="16">
      <t>ダイスウ</t>
    </rPh>
    <rPh sb="17" eb="19">
      <t>サンシュツ</t>
    </rPh>
    <phoneticPr fontId="2"/>
  </si>
  <si>
    <t>（最終判定）必要台数</t>
    <rPh sb="1" eb="3">
      <t>サイシュウ</t>
    </rPh>
    <rPh sb="3" eb="5">
      <t>ハンテイ</t>
    </rPh>
    <rPh sb="6" eb="8">
      <t>ヒツヨウ</t>
    </rPh>
    <rPh sb="8" eb="10">
      <t>ダイスウ</t>
    </rPh>
    <phoneticPr fontId="2"/>
  </si>
  <si>
    <t>計画台数</t>
    <rPh sb="0" eb="2">
      <t>ケイカク</t>
    </rPh>
    <rPh sb="2" eb="4">
      <t>ダイスウ</t>
    </rPh>
    <phoneticPr fontId="2"/>
  </si>
  <si>
    <t>(ア）</t>
    <phoneticPr fontId="2"/>
  </si>
  <si>
    <t>単身で居住することを目的とした一戸当たりの床面積が４０㎡未満の共同住宅、長屋住宅、寄宿舎</t>
    <rPh sb="0" eb="2">
      <t>タンシン</t>
    </rPh>
    <rPh sb="3" eb="5">
      <t>キョジュウ</t>
    </rPh>
    <rPh sb="10" eb="12">
      <t>モクテキ</t>
    </rPh>
    <rPh sb="15" eb="17">
      <t>イッコ</t>
    </rPh>
    <rPh sb="17" eb="18">
      <t>ア</t>
    </rPh>
    <rPh sb="21" eb="24">
      <t>ユカメンセキ</t>
    </rPh>
    <rPh sb="28" eb="30">
      <t>ミマン</t>
    </rPh>
    <rPh sb="31" eb="33">
      <t>キョウドウ</t>
    </rPh>
    <rPh sb="33" eb="35">
      <t>ジュウタク</t>
    </rPh>
    <rPh sb="36" eb="38">
      <t>ナガヤ</t>
    </rPh>
    <rPh sb="38" eb="40">
      <t>ジュウタク</t>
    </rPh>
    <rPh sb="41" eb="44">
      <t>キシュクシャ</t>
    </rPh>
    <phoneticPr fontId="2"/>
  </si>
  <si>
    <t>共同住宅、長屋住宅（単身用の共同住宅、長屋住宅、寄宿舎を除く）</t>
    <rPh sb="0" eb="2">
      <t>キョウドウ</t>
    </rPh>
    <rPh sb="2" eb="4">
      <t>ジュウタク</t>
    </rPh>
    <rPh sb="5" eb="7">
      <t>ナガヤ</t>
    </rPh>
    <rPh sb="7" eb="9">
      <t>ジュウタク</t>
    </rPh>
    <rPh sb="10" eb="13">
      <t>タンシンヨウ</t>
    </rPh>
    <rPh sb="14" eb="16">
      <t>キョウドウ</t>
    </rPh>
    <rPh sb="16" eb="18">
      <t>ジュウタク</t>
    </rPh>
    <rPh sb="19" eb="21">
      <t>ナガヤ</t>
    </rPh>
    <rPh sb="21" eb="23">
      <t>ジュウタク</t>
    </rPh>
    <rPh sb="24" eb="27">
      <t>キシュクシャ</t>
    </rPh>
    <rPh sb="28" eb="29">
      <t>ノゾ</t>
    </rPh>
    <phoneticPr fontId="2"/>
  </si>
  <si>
    <t>百貨店、スーパーマーケット等の小売店舗、銀行等の金融機関、遊技場、飲食店</t>
    <rPh sb="0" eb="3">
      <t>ヒャッカテン</t>
    </rPh>
    <rPh sb="13" eb="14">
      <t>トウ</t>
    </rPh>
    <rPh sb="15" eb="17">
      <t>コウリ</t>
    </rPh>
    <rPh sb="17" eb="19">
      <t>テンポ</t>
    </rPh>
    <rPh sb="20" eb="22">
      <t>ギンコウ</t>
    </rPh>
    <rPh sb="22" eb="23">
      <t>トウ</t>
    </rPh>
    <rPh sb="24" eb="26">
      <t>キンユウ</t>
    </rPh>
    <rPh sb="26" eb="28">
      <t>キカン</t>
    </rPh>
    <rPh sb="29" eb="32">
      <t>ユウギジョウ</t>
    </rPh>
    <rPh sb="33" eb="35">
      <t>インショク</t>
    </rPh>
    <rPh sb="35" eb="36">
      <t>テン</t>
    </rPh>
    <phoneticPr fontId="2"/>
  </si>
  <si>
    <t>（ウ）</t>
    <phoneticPr fontId="2"/>
  </si>
  <si>
    <t>対象建築物
の用途区分</t>
    <rPh sb="0" eb="2">
      <t>タイショウ</t>
    </rPh>
    <rPh sb="2" eb="5">
      <t>ケンチクブツ</t>
    </rPh>
    <rPh sb="7" eb="9">
      <t>ヨウト</t>
    </rPh>
    <rPh sb="9" eb="11">
      <t>クブン</t>
    </rPh>
    <phoneticPr fontId="2"/>
  </si>
  <si>
    <t>（ア）と（イ）</t>
    <phoneticPr fontId="2"/>
  </si>
  <si>
    <t>（ア）と（ウ）</t>
    <phoneticPr fontId="2"/>
  </si>
  <si>
    <t>（イ）と（ウ）</t>
    <phoneticPr fontId="2"/>
  </si>
  <si>
    <t>（ア）（イ）（ウ）全て</t>
    <rPh sb="9" eb="10">
      <t>スベ</t>
    </rPh>
    <phoneticPr fontId="2"/>
  </si>
  <si>
    <t>（ア）の計画戸数</t>
    <rPh sb="4" eb="6">
      <t>ケイカク</t>
    </rPh>
    <rPh sb="6" eb="8">
      <t>コスウ</t>
    </rPh>
    <phoneticPr fontId="2"/>
  </si>
  <si>
    <t>（イ）の計画戸数</t>
    <rPh sb="4" eb="6">
      <t>ケイカク</t>
    </rPh>
    <rPh sb="6" eb="8">
      <t>コスウ</t>
    </rPh>
    <phoneticPr fontId="2"/>
  </si>
  <si>
    <t>従業員用施設、事務室、倉庫、機械室その他これらに類するもの（売場間の通路で壁等により売場と明確に区分され、売場として利用し得ない通路を含む。）の床面積
飲食店は客室及び調理場に類する部分以外の面積</t>
    <rPh sb="76" eb="78">
      <t>インショク</t>
    </rPh>
    <rPh sb="78" eb="79">
      <t>テン</t>
    </rPh>
    <rPh sb="80" eb="82">
      <t>キャクシツ</t>
    </rPh>
    <rPh sb="82" eb="83">
      <t>オヨ</t>
    </rPh>
    <rPh sb="84" eb="86">
      <t>チョウリ</t>
    </rPh>
    <rPh sb="86" eb="87">
      <t>ジョウ</t>
    </rPh>
    <rPh sb="88" eb="89">
      <t>ルイ</t>
    </rPh>
    <rPh sb="91" eb="93">
      <t>ブブン</t>
    </rPh>
    <rPh sb="93" eb="95">
      <t>イガイ</t>
    </rPh>
    <rPh sb="96" eb="98">
      <t>メンセキ</t>
    </rPh>
    <phoneticPr fontId="2"/>
  </si>
  <si>
    <t>商業・近隣商業地域</t>
    <rPh sb="0" eb="2">
      <t>ショウギョウ</t>
    </rPh>
    <rPh sb="3" eb="5">
      <t>キンリン</t>
    </rPh>
    <rPh sb="5" eb="7">
      <t>ショウギョウ</t>
    </rPh>
    <rPh sb="7" eb="9">
      <t>チイキ</t>
    </rPh>
    <phoneticPr fontId="2"/>
  </si>
  <si>
    <t>その他地域</t>
    <rPh sb="2" eb="3">
      <t>タ</t>
    </rPh>
    <rPh sb="3" eb="5">
      <t>チイキ</t>
    </rPh>
    <phoneticPr fontId="2"/>
  </si>
  <si>
    <t>（ウ）がある場合、用途地域の選択</t>
    <rPh sb="6" eb="8">
      <t>バアイ</t>
    </rPh>
    <rPh sb="9" eb="11">
      <t>ヨウト</t>
    </rPh>
    <rPh sb="11" eb="13">
      <t>チイキ</t>
    </rPh>
    <rPh sb="14" eb="16">
      <t>センタク</t>
    </rPh>
    <phoneticPr fontId="2"/>
  </si>
  <si>
    <t>用途地域が複数にまたがる場合は最大面積の用途地域を選択</t>
    <rPh sb="0" eb="4">
      <t>ヨウトチイキ</t>
    </rPh>
    <rPh sb="5" eb="7">
      <t>フクスウ</t>
    </rPh>
    <rPh sb="12" eb="14">
      <t>バアイ</t>
    </rPh>
    <rPh sb="25" eb="27">
      <t>センタク</t>
    </rPh>
    <phoneticPr fontId="2"/>
  </si>
  <si>
    <t>対象建築物の用途区分が対象でない場合は入力不要</t>
    <rPh sb="0" eb="2">
      <t>タイショウ</t>
    </rPh>
    <rPh sb="2" eb="5">
      <t>ケンチクブツ</t>
    </rPh>
    <rPh sb="6" eb="8">
      <t>ヨウト</t>
    </rPh>
    <rPh sb="8" eb="10">
      <t>クブン</t>
    </rPh>
    <rPh sb="11" eb="13">
      <t>タイショウ</t>
    </rPh>
    <rPh sb="16" eb="18">
      <t>バアイ</t>
    </rPh>
    <rPh sb="19" eb="21">
      <t>ニュウリョク</t>
    </rPh>
    <rPh sb="21" eb="23">
      <t>フヨウ</t>
    </rPh>
    <phoneticPr fontId="2"/>
  </si>
  <si>
    <t>（ウ）の延床面積（㎡）</t>
    <rPh sb="4" eb="6">
      <t>ノベユカ</t>
    </rPh>
    <rPh sb="6" eb="8">
      <t>メンセキ</t>
    </rPh>
    <phoneticPr fontId="2"/>
  </si>
  <si>
    <t>うち荷捌用</t>
    <rPh sb="2" eb="4">
      <t>ニサバキ</t>
    </rPh>
    <rPh sb="4" eb="5">
      <t>ヨウ</t>
    </rPh>
    <phoneticPr fontId="2"/>
  </si>
  <si>
    <t>うち原付</t>
    <rPh sb="2" eb="4">
      <t>ゲンツキ</t>
    </rPh>
    <phoneticPr fontId="2"/>
  </si>
  <si>
    <t>うち自動二輪</t>
    <rPh sb="2" eb="4">
      <t>ジドウ</t>
    </rPh>
    <rPh sb="4" eb="6">
      <t>ニリン</t>
    </rPh>
    <phoneticPr fontId="2"/>
  </si>
  <si>
    <t>台数</t>
    <rPh sb="0" eb="2">
      <t>ダイスウ</t>
    </rPh>
    <phoneticPr fontId="2"/>
  </si>
  <si>
    <t>（ウ）の面積のうち、対象外面積（㎡）</t>
    <rPh sb="4" eb="6">
      <t>メンセキ</t>
    </rPh>
    <rPh sb="10" eb="13">
      <t>タイショウガイ</t>
    </rPh>
    <rPh sb="13" eb="15">
      <t>メンセキ</t>
    </rPh>
    <phoneticPr fontId="2"/>
  </si>
  <si>
    <t>自転車駐車場基準</t>
    <rPh sb="0" eb="3">
      <t>ジテンシャ</t>
    </rPh>
    <rPh sb="3" eb="5">
      <t>チュウシャ</t>
    </rPh>
    <rPh sb="5" eb="6">
      <t>ジョウ</t>
    </rPh>
    <rPh sb="6" eb="8">
      <t>キジュン</t>
    </rPh>
    <phoneticPr fontId="2"/>
  </si>
  <si>
    <t>～500㎡</t>
    <phoneticPr fontId="2"/>
  </si>
  <si>
    <t>501㎡～5000㎡</t>
    <phoneticPr fontId="2"/>
  </si>
  <si>
    <t>5001㎡～</t>
    <phoneticPr fontId="2"/>
  </si>
  <si>
    <t>面積</t>
    <rPh sb="0" eb="2">
      <t>メンセキ</t>
    </rPh>
    <phoneticPr fontId="2"/>
  </si>
  <si>
    <t>台数（商業・近商）</t>
    <rPh sb="0" eb="2">
      <t>ダイスウ</t>
    </rPh>
    <rPh sb="3" eb="5">
      <t>ショウギョウ</t>
    </rPh>
    <rPh sb="6" eb="8">
      <t>キンショウ</t>
    </rPh>
    <phoneticPr fontId="2"/>
  </si>
  <si>
    <t>台数（その他）</t>
    <rPh sb="0" eb="2">
      <t>ダイスウ</t>
    </rPh>
    <rPh sb="5" eb="6">
      <t>タ</t>
    </rPh>
    <phoneticPr fontId="2"/>
  </si>
  <si>
    <t>採用台数</t>
    <rPh sb="0" eb="2">
      <t>サイヨウ</t>
    </rPh>
    <rPh sb="2" eb="4">
      <t>ダイスウ</t>
    </rPh>
    <phoneticPr fontId="2"/>
  </si>
  <si>
    <t>原付、自動二輪の必要台数</t>
    <rPh sb="0" eb="2">
      <t>ゲンツキ</t>
    </rPh>
    <rPh sb="3" eb="5">
      <t>ジドウ</t>
    </rPh>
    <rPh sb="5" eb="7">
      <t>ニリン</t>
    </rPh>
    <rPh sb="8" eb="10">
      <t>ヒツヨウ</t>
    </rPh>
    <rPh sb="10" eb="12">
      <t>ダイスウ</t>
    </rPh>
    <phoneticPr fontId="2"/>
  </si>
  <si>
    <t>（ア）（イ）</t>
    <phoneticPr fontId="2"/>
  </si>
  <si>
    <t>必要台数の内原付を1台以上</t>
    <rPh sb="0" eb="2">
      <t>ヒツヨウ</t>
    </rPh>
    <rPh sb="2" eb="4">
      <t>ダイスウ</t>
    </rPh>
    <rPh sb="5" eb="6">
      <t>ウチ</t>
    </rPh>
    <rPh sb="6" eb="8">
      <t>ゲンツキ</t>
    </rPh>
    <rPh sb="10" eb="11">
      <t>ダイ</t>
    </rPh>
    <rPh sb="11" eb="13">
      <t>イジョウ</t>
    </rPh>
    <phoneticPr fontId="2"/>
  </si>
  <si>
    <t>必要台数の内原付と自動二輪1台ずつ以上</t>
    <rPh sb="0" eb="2">
      <t>ヒツヨウ</t>
    </rPh>
    <rPh sb="2" eb="4">
      <t>ダイスウ</t>
    </rPh>
    <rPh sb="5" eb="6">
      <t>ウチ</t>
    </rPh>
    <rPh sb="14" eb="15">
      <t>ダイ</t>
    </rPh>
    <rPh sb="17" eb="19">
      <t>イジョウ</t>
    </rPh>
    <phoneticPr fontId="2"/>
  </si>
  <si>
    <t>(ウ）の対象外面積</t>
    <rPh sb="4" eb="7">
      <t>タイショウガイ</t>
    </rPh>
    <rPh sb="7" eb="9">
      <t>メンセキ</t>
    </rPh>
    <phoneticPr fontId="2"/>
  </si>
  <si>
    <t>居住者のみを会員とするカーシェアリング制度を導入する場合、「する」を選択すること。</t>
    <rPh sb="0" eb="3">
      <t>キョジュウシャ</t>
    </rPh>
    <rPh sb="6" eb="8">
      <t>カイイン</t>
    </rPh>
    <rPh sb="19" eb="21">
      <t>セイド</t>
    </rPh>
    <rPh sb="22" eb="24">
      <t>ドウニュウ</t>
    </rPh>
    <rPh sb="26" eb="28">
      <t>バアイ</t>
    </rPh>
    <rPh sb="34" eb="36">
      <t>センタク</t>
    </rPh>
    <phoneticPr fontId="2"/>
  </si>
  <si>
    <t>（イ）のうち、小売店舗の面積が1000㎡以上</t>
    <rPh sb="7" eb="9">
      <t>コウリ</t>
    </rPh>
    <rPh sb="9" eb="11">
      <t>テンポ</t>
    </rPh>
    <rPh sb="12" eb="14">
      <t>メンセキ</t>
    </rPh>
    <rPh sb="20" eb="22">
      <t>イジョウ</t>
    </rPh>
    <phoneticPr fontId="2"/>
  </si>
  <si>
    <t>ある</t>
    <phoneticPr fontId="2"/>
  </si>
  <si>
    <t>ない</t>
    <phoneticPr fontId="2"/>
  </si>
  <si>
    <t>（ア）計画戸数÷6戸
（イ）延べ床面積÷200㎡
での必要台数</t>
    <rPh sb="3" eb="5">
      <t>ケイカク</t>
    </rPh>
    <rPh sb="5" eb="7">
      <t>コスウ</t>
    </rPh>
    <rPh sb="9" eb="10">
      <t>コ</t>
    </rPh>
    <rPh sb="14" eb="15">
      <t>ノ</t>
    </rPh>
    <rPh sb="16" eb="19">
      <t>ユカメンセキ</t>
    </rPh>
    <rPh sb="27" eb="29">
      <t>ヒツヨウ</t>
    </rPh>
    <rPh sb="29" eb="31">
      <t>ダイスウ</t>
    </rPh>
    <phoneticPr fontId="2"/>
  </si>
  <si>
    <t>（イ）の必要台数算出方法の選択</t>
    <rPh sb="4" eb="6">
      <t>ヒツヨウ</t>
    </rPh>
    <rPh sb="6" eb="8">
      <t>ダイスウ</t>
    </rPh>
    <rPh sb="8" eb="10">
      <t>サンシュツ</t>
    </rPh>
    <rPh sb="10" eb="12">
      <t>ホウホウ</t>
    </rPh>
    <rPh sb="13" eb="15">
      <t>センタク</t>
    </rPh>
    <phoneticPr fontId="2"/>
  </si>
  <si>
    <t>計画台数</t>
    <rPh sb="0" eb="2">
      <t>ケイカク</t>
    </rPh>
    <rPh sb="2" eb="4">
      <t>ダイスウ</t>
    </rPh>
    <phoneticPr fontId="6"/>
  </si>
  <si>
    <t>計画に対する必要台数</t>
    <rPh sb="0" eb="2">
      <t>ケイカク</t>
    </rPh>
    <rPh sb="3" eb="4">
      <t>タイ</t>
    </rPh>
    <rPh sb="6" eb="8">
      <t>ヒツヨウ</t>
    </rPh>
    <rPh sb="8" eb="10">
      <t>ダイスウ</t>
    </rPh>
    <phoneticPr fontId="6"/>
  </si>
  <si>
    <t>区画標示</t>
    <rPh sb="0" eb="2">
      <t>クカク</t>
    </rPh>
    <rPh sb="2" eb="4">
      <t>ヒョウジ</t>
    </rPh>
    <phoneticPr fontId="6"/>
  </si>
  <si>
    <t>標準駐車場</t>
    <rPh sb="0" eb="2">
      <t>ヒョウジュン</t>
    </rPh>
    <rPh sb="2" eb="4">
      <t>チュウシャ</t>
    </rPh>
    <rPh sb="4" eb="5">
      <t>ジョウ</t>
    </rPh>
    <phoneticPr fontId="6"/>
  </si>
  <si>
    <t>内荷捌用</t>
    <rPh sb="0" eb="1">
      <t>ウチ</t>
    </rPh>
    <rPh sb="1" eb="3">
      <t>ニサバキ</t>
    </rPh>
    <phoneticPr fontId="6"/>
  </si>
  <si>
    <t>内荷捌用</t>
    <rPh sb="0" eb="1">
      <t>ウチ</t>
    </rPh>
    <rPh sb="1" eb="3">
      <t>ニサバキ</t>
    </rPh>
    <rPh sb="3" eb="4">
      <t>ヨウ</t>
    </rPh>
    <phoneticPr fontId="6"/>
  </si>
  <si>
    <t>自動車</t>
    <rPh sb="0" eb="3">
      <t>ジドウシャ</t>
    </rPh>
    <phoneticPr fontId="6"/>
  </si>
  <si>
    <t>台</t>
    <rPh sb="0" eb="1">
      <t>ダイ</t>
    </rPh>
    <phoneticPr fontId="6"/>
  </si>
  <si>
    <t>自転車</t>
    <rPh sb="0" eb="3">
      <t>ジテンシャ</t>
    </rPh>
    <phoneticPr fontId="6"/>
  </si>
  <si>
    <t>台</t>
    <phoneticPr fontId="6"/>
  </si>
  <si>
    <t>（</t>
  </si>
  <si>
    <t>内</t>
    <rPh sb="0" eb="1">
      <t>ウチ</t>
    </rPh>
    <phoneticPr fontId="6"/>
  </si>
  <si>
    <t>原付</t>
  </si>
  <si>
    <t>自動二輪</t>
  </si>
  <si>
    <t>）</t>
    <phoneticPr fontId="6"/>
  </si>
  <si>
    <t>1 自動車駐車場</t>
    <rPh sb="2" eb="5">
      <t>ジドウシャ</t>
    </rPh>
    <rPh sb="5" eb="7">
      <t>チュウシャ</t>
    </rPh>
    <rPh sb="7" eb="8">
      <t>ジョウ</t>
    </rPh>
    <phoneticPr fontId="6"/>
  </si>
  <si>
    <t>カーシェアリング</t>
    <phoneticPr fontId="6"/>
  </si>
  <si>
    <t>計画戸数</t>
    <rPh sb="0" eb="2">
      <t>ケイカク</t>
    </rPh>
    <rPh sb="2" eb="4">
      <t>コスウ</t>
    </rPh>
    <phoneticPr fontId="6"/>
  </si>
  <si>
    <t>戸</t>
    <rPh sb="0" eb="1">
      <t>コ</t>
    </rPh>
    <phoneticPr fontId="6"/>
  </si>
  <si>
    <t>×</t>
    <phoneticPr fontId="6"/>
  </si>
  <si>
    <t>＝</t>
    <phoneticPr fontId="6"/>
  </si>
  <si>
    <t>荷さばき用駐車場は標準駐車場の台数に含めることができる。</t>
    <rPh sb="0" eb="1">
      <t>ニ</t>
    </rPh>
    <rPh sb="4" eb="5">
      <t>ヨウ</t>
    </rPh>
    <rPh sb="5" eb="7">
      <t>チュウシャ</t>
    </rPh>
    <rPh sb="7" eb="8">
      <t>ジョウ</t>
    </rPh>
    <rPh sb="9" eb="11">
      <t>ヒョウジュン</t>
    </rPh>
    <rPh sb="11" eb="13">
      <t>チュウシャ</t>
    </rPh>
    <rPh sb="13" eb="14">
      <t>ジョウ</t>
    </rPh>
    <rPh sb="15" eb="17">
      <t>ダイスウ</t>
    </rPh>
    <rPh sb="18" eb="19">
      <t>フク</t>
    </rPh>
    <phoneticPr fontId="6"/>
  </si>
  <si>
    <t>【計算式】</t>
    <rPh sb="1" eb="4">
      <t>ケイサンシキ</t>
    </rPh>
    <phoneticPr fontId="6"/>
  </si>
  <si>
    <t>用途</t>
    <rPh sb="0" eb="2">
      <t>ヨウト</t>
    </rPh>
    <phoneticPr fontId="6"/>
  </si>
  <si>
    <t>延床面積
計画戸数</t>
    <rPh sb="0" eb="2">
      <t>ノベユカ</t>
    </rPh>
    <rPh sb="2" eb="4">
      <t>メンセキ</t>
    </rPh>
    <rPh sb="5" eb="7">
      <t>ケイカク</t>
    </rPh>
    <rPh sb="7" eb="9">
      <t>コスウ</t>
    </rPh>
    <phoneticPr fontId="6"/>
  </si>
  <si>
    <t>標準駐車場必要台数
（小数点以下端数切り上げ）</t>
    <rPh sb="0" eb="2">
      <t>ヒョウジュン</t>
    </rPh>
    <rPh sb="2" eb="4">
      <t>チュウシャ</t>
    </rPh>
    <rPh sb="4" eb="5">
      <t>ジョウ</t>
    </rPh>
    <rPh sb="5" eb="7">
      <t>ヒツヨウ</t>
    </rPh>
    <rPh sb="7" eb="9">
      <t>ダイスウ</t>
    </rPh>
    <rPh sb="11" eb="14">
      <t>ショウスウテン</t>
    </rPh>
    <rPh sb="14" eb="16">
      <t>イカ</t>
    </rPh>
    <rPh sb="16" eb="18">
      <t>ハスウ</t>
    </rPh>
    <rPh sb="18" eb="19">
      <t>キ</t>
    </rPh>
    <rPh sb="20" eb="21">
      <t>ア</t>
    </rPh>
    <phoneticPr fontId="6"/>
  </si>
  <si>
    <t>荷さばき用駐車場
（小数点以下端数切り上げ）</t>
    <rPh sb="0" eb="1">
      <t>ニ</t>
    </rPh>
    <rPh sb="4" eb="5">
      <t>ヨウ</t>
    </rPh>
    <rPh sb="5" eb="7">
      <t>チュウシャ</t>
    </rPh>
    <rPh sb="7" eb="8">
      <t>ジョウ</t>
    </rPh>
    <rPh sb="10" eb="13">
      <t>ショウスウテン</t>
    </rPh>
    <rPh sb="13" eb="15">
      <t>イカ</t>
    </rPh>
    <rPh sb="15" eb="17">
      <t>ハスウ</t>
    </rPh>
    <rPh sb="17" eb="18">
      <t>キ</t>
    </rPh>
    <rPh sb="19" eb="20">
      <t>ア</t>
    </rPh>
    <phoneticPr fontId="6"/>
  </si>
  <si>
    <t>ア</t>
    <phoneticPr fontId="6"/>
  </si>
  <si>
    <t>共同住宅
長屋住宅</t>
    <rPh sb="0" eb="2">
      <t>キョウドウ</t>
    </rPh>
    <rPh sb="2" eb="4">
      <t>ジュウタク</t>
    </rPh>
    <rPh sb="5" eb="7">
      <t>ナガヤ</t>
    </rPh>
    <rPh sb="7" eb="9">
      <t>ジュウタク</t>
    </rPh>
    <phoneticPr fontId="6"/>
  </si>
  <si>
    <t>㎡</t>
    <phoneticPr fontId="6"/>
  </si>
  <si>
    <t>計画戸数が５０戸以上</t>
    <rPh sb="0" eb="2">
      <t>ケイカク</t>
    </rPh>
    <rPh sb="2" eb="4">
      <t>コスウ</t>
    </rPh>
    <rPh sb="7" eb="8">
      <t>コ</t>
    </rPh>
    <rPh sb="8" eb="10">
      <t>イジョウ</t>
    </rPh>
    <phoneticPr fontId="6"/>
  </si>
  <si>
    <t>⇒１台以上</t>
    <rPh sb="2" eb="3">
      <t>ダイ</t>
    </rPh>
    <rPh sb="3" eb="5">
      <t>イジョウ</t>
    </rPh>
    <phoneticPr fontId="6"/>
  </si>
  <si>
    <t>（</t>
    <phoneticPr fontId="6"/>
  </si>
  <si>
    <t>→</t>
    <phoneticPr fontId="6"/>
  </si>
  <si>
    <t>来客用等と併用</t>
    <rPh sb="0" eb="3">
      <t>ライキャクヨウ</t>
    </rPh>
    <rPh sb="3" eb="4">
      <t>トウ</t>
    </rPh>
    <rPh sb="5" eb="7">
      <t>ヘイヨウ</t>
    </rPh>
    <phoneticPr fontId="6"/>
  </si>
  <si>
    <t>イ</t>
    <phoneticPr fontId="6"/>
  </si>
  <si>
    <t>アを除く
特定用途</t>
    <rPh sb="2" eb="3">
      <t>ノゾ</t>
    </rPh>
    <rPh sb="5" eb="7">
      <t>トクテイ</t>
    </rPh>
    <rPh sb="7" eb="9">
      <t>ヨウト</t>
    </rPh>
    <phoneticPr fontId="6"/>
  </si>
  <si>
    <t>延床面積2,000㎡超</t>
    <rPh sb="0" eb="4">
      <t>ノベユカメンセキ</t>
    </rPh>
    <rPh sb="10" eb="11">
      <t>チョウ</t>
    </rPh>
    <phoneticPr fontId="6"/>
  </si>
  <si>
    <t>⇒延床面積÷200㎡</t>
    <rPh sb="1" eb="5">
      <t>ノベユカメンセキ</t>
    </rPh>
    <phoneticPr fontId="6"/>
  </si>
  <si>
    <t>⇒</t>
    <phoneticPr fontId="6"/>
  </si>
  <si>
    <t>見込み駐車台数</t>
    <rPh sb="0" eb="2">
      <t>ミコミ</t>
    </rPh>
    <rPh sb="3" eb="5">
      <t>チュウシャ</t>
    </rPh>
    <rPh sb="5" eb="7">
      <t>ダイスウ</t>
    </rPh>
    <phoneticPr fontId="6"/>
  </si>
  <si>
    <t>ウ</t>
    <phoneticPr fontId="6"/>
  </si>
  <si>
    <t>アとイの
複合</t>
    <rPh sb="5" eb="7">
      <t>フクゴウ</t>
    </rPh>
    <phoneticPr fontId="6"/>
  </si>
  <si>
    <t>ア×0.5＋イ＝1,000㎡超
⇒ア及びイで計算した合計（それぞれ小数点以下端数切り上げ）</t>
    <rPh sb="14" eb="15">
      <t>チョウ</t>
    </rPh>
    <rPh sb="18" eb="19">
      <t>オヨ</t>
    </rPh>
    <rPh sb="22" eb="24">
      <t>ケイサン</t>
    </rPh>
    <rPh sb="26" eb="28">
      <t>ゴウケイ</t>
    </rPh>
    <rPh sb="33" eb="36">
      <t>ショウスウテン</t>
    </rPh>
    <rPh sb="36" eb="38">
      <t>イカ</t>
    </rPh>
    <rPh sb="38" eb="40">
      <t>ハスウ</t>
    </rPh>
    <rPh sb="40" eb="41">
      <t>キ</t>
    </rPh>
    <rPh sb="42" eb="43">
      <t>ア</t>
    </rPh>
    <phoneticPr fontId="6"/>
  </si>
  <si>
    <t>＋</t>
    <phoneticPr fontId="6"/>
  </si>
  <si>
    <t>荷さばき用表示</t>
    <rPh sb="0" eb="1">
      <t>ニ</t>
    </rPh>
    <rPh sb="4" eb="5">
      <t>ヨウ</t>
    </rPh>
    <rPh sb="5" eb="7">
      <t>ヒョウジ</t>
    </rPh>
    <phoneticPr fontId="6"/>
  </si>
  <si>
    <t>小売店舗面積（飲食店除く）の合計が1,000㎡を</t>
    <rPh sb="0" eb="2">
      <t>コウリ</t>
    </rPh>
    <rPh sb="2" eb="4">
      <t>テンポ</t>
    </rPh>
    <rPh sb="4" eb="6">
      <t>メンセキ</t>
    </rPh>
    <rPh sb="7" eb="9">
      <t>インショク</t>
    </rPh>
    <rPh sb="9" eb="10">
      <t>テン</t>
    </rPh>
    <rPh sb="10" eb="11">
      <t>ノゾ</t>
    </rPh>
    <rPh sb="14" eb="16">
      <t>ゴウケイ</t>
    </rPh>
    <phoneticPr fontId="6"/>
  </si>
  <si>
    <t>設置基準（一部を原付／小数点以下端数切り上げ）</t>
    <rPh sb="0" eb="2">
      <t>セッチ</t>
    </rPh>
    <rPh sb="2" eb="4">
      <t>キジュン</t>
    </rPh>
    <rPh sb="5" eb="7">
      <t>イチブ</t>
    </rPh>
    <rPh sb="8" eb="10">
      <t>ゲンツキ</t>
    </rPh>
    <rPh sb="11" eb="14">
      <t>ショウスウテン</t>
    </rPh>
    <rPh sb="14" eb="16">
      <t>イカ</t>
    </rPh>
    <rPh sb="16" eb="18">
      <t>ハスウ</t>
    </rPh>
    <rPh sb="18" eb="19">
      <t>キ</t>
    </rPh>
    <rPh sb="20" eb="21">
      <t>ア</t>
    </rPh>
    <phoneticPr fontId="6"/>
  </si>
  <si>
    <t>居住者一人につき1台以上</t>
    <rPh sb="0" eb="3">
      <t>キョジュウシャ</t>
    </rPh>
    <rPh sb="3" eb="5">
      <t>ヒトリ</t>
    </rPh>
    <rPh sb="9" eb="12">
      <t>ダイイジョウ</t>
    </rPh>
    <phoneticPr fontId="6"/>
  </si>
  <si>
    <t>内原付</t>
    <rPh sb="0" eb="1">
      <t>ウチ</t>
    </rPh>
    <rPh sb="1" eb="3">
      <t>ゲンツキ</t>
    </rPh>
    <phoneticPr fontId="6"/>
  </si>
  <si>
    <t>計画戸数×1.5</t>
    <rPh sb="0" eb="2">
      <t>ケイカク</t>
    </rPh>
    <rPh sb="2" eb="4">
      <t>コスウ</t>
    </rPh>
    <phoneticPr fontId="6"/>
  </si>
  <si>
    <t>算定用面積</t>
    <rPh sb="0" eb="2">
      <t>サンテイ</t>
    </rPh>
    <rPh sb="2" eb="3">
      <t>ヨウ</t>
    </rPh>
    <rPh sb="3" eb="5">
      <t>メンセキ</t>
    </rPh>
    <phoneticPr fontId="6"/>
  </si>
  <si>
    <t>設置基準（一部を原付と自動二輪／小数点以下端数切り上げ）</t>
    <rPh sb="0" eb="2">
      <t>セッチ</t>
    </rPh>
    <rPh sb="2" eb="4">
      <t>キジュン</t>
    </rPh>
    <rPh sb="5" eb="7">
      <t>イチブ</t>
    </rPh>
    <rPh sb="8" eb="10">
      <t>ゲンツキ</t>
    </rPh>
    <rPh sb="11" eb="13">
      <t>ジドウ</t>
    </rPh>
    <rPh sb="13" eb="15">
      <t>ニリン</t>
    </rPh>
    <rPh sb="16" eb="19">
      <t>ショウスウテン</t>
    </rPh>
    <rPh sb="19" eb="21">
      <t>イカ</t>
    </rPh>
    <rPh sb="21" eb="23">
      <t>ハスウ</t>
    </rPh>
    <rPh sb="23" eb="24">
      <t>キ</t>
    </rPh>
    <rPh sb="25" eb="26">
      <t>ア</t>
    </rPh>
    <phoneticPr fontId="6"/>
  </si>
  <si>
    <t>百貨店、スーパーマーケット等の小売店舗、銀行等の金融機関、遊技場、飲食店</t>
    <rPh sb="0" eb="3">
      <t>ヒャッカテン</t>
    </rPh>
    <rPh sb="13" eb="14">
      <t>トウ</t>
    </rPh>
    <rPh sb="15" eb="17">
      <t>コウリ</t>
    </rPh>
    <rPh sb="17" eb="19">
      <t>テンポ</t>
    </rPh>
    <rPh sb="20" eb="22">
      <t>ギンコウ</t>
    </rPh>
    <rPh sb="22" eb="23">
      <t>トウ</t>
    </rPh>
    <rPh sb="24" eb="26">
      <t>キンユウ</t>
    </rPh>
    <rPh sb="26" eb="28">
      <t>キカン</t>
    </rPh>
    <rPh sb="29" eb="32">
      <t>ユウギジョウ</t>
    </rPh>
    <rPh sb="33" eb="35">
      <t>インショク</t>
    </rPh>
    <rPh sb="35" eb="36">
      <t>テン</t>
    </rPh>
    <phoneticPr fontId="6"/>
  </si>
  <si>
    <t>延床面積</t>
    <rPh sb="0" eb="4">
      <t>ノベユカメンセキ</t>
    </rPh>
    <phoneticPr fontId="6"/>
  </si>
  <si>
    <t>算定用面積500㎡以下⇒算定用面積÷40㎡</t>
    <rPh sb="0" eb="2">
      <t>サンテイ</t>
    </rPh>
    <rPh sb="2" eb="3">
      <t>ヨウ</t>
    </rPh>
    <rPh sb="3" eb="5">
      <t>メンセキ</t>
    </rPh>
    <rPh sb="9" eb="11">
      <t>イカ</t>
    </rPh>
    <rPh sb="12" eb="14">
      <t>サンテイ</t>
    </rPh>
    <rPh sb="14" eb="15">
      <t>ヨウ</t>
    </rPh>
    <rPh sb="15" eb="17">
      <t>メンセキ</t>
    </rPh>
    <phoneticPr fontId="6"/>
  </si>
  <si>
    <t>原付</t>
    <phoneticPr fontId="6"/>
  </si>
  <si>
    <t>自動二輪</t>
    <rPh sb="0" eb="2">
      <t>ジドウ</t>
    </rPh>
    <rPh sb="2" eb="4">
      <t>ニリン</t>
    </rPh>
    <phoneticPr fontId="6"/>
  </si>
  <si>
    <t>－除外面積</t>
    <phoneticPr fontId="6"/>
  </si>
  <si>
    <r>
      <t>⇒</t>
    </r>
    <r>
      <rPr>
        <b/>
        <sz val="11"/>
        <color theme="1"/>
        <rFont val="BIZ UDゴシック"/>
        <family val="3"/>
        <charset val="128"/>
      </rPr>
      <t>商業・近商地域</t>
    </r>
    <r>
      <rPr>
        <sz val="11"/>
        <color theme="1"/>
        <rFont val="BIZ UDゴシック"/>
        <family val="3"/>
        <charset val="128"/>
      </rPr>
      <t>⇒算定用面積÷20㎡(5,000㎡超の部分は40㎡）</t>
    </r>
    <rPh sb="1" eb="3">
      <t>ショウギョウ</t>
    </rPh>
    <rPh sb="4" eb="6">
      <t>キンショウ</t>
    </rPh>
    <rPh sb="6" eb="8">
      <t>チイキ</t>
    </rPh>
    <rPh sb="9" eb="11">
      <t>サンテイ</t>
    </rPh>
    <rPh sb="11" eb="12">
      <t>ヨウ</t>
    </rPh>
    <rPh sb="12" eb="14">
      <t>メンセキ</t>
    </rPh>
    <rPh sb="25" eb="26">
      <t>チョウ</t>
    </rPh>
    <rPh sb="27" eb="29">
      <t>ブブン</t>
    </rPh>
    <phoneticPr fontId="6"/>
  </si>
  <si>
    <r>
      <t>⇒</t>
    </r>
    <r>
      <rPr>
        <b/>
        <sz val="11"/>
        <color theme="1"/>
        <rFont val="BIZ UDゴシック"/>
        <family val="3"/>
        <charset val="128"/>
      </rPr>
      <t>その他の地域</t>
    </r>
    <r>
      <rPr>
        <sz val="11"/>
        <color theme="1"/>
        <rFont val="BIZ UDゴシック"/>
        <family val="3"/>
        <charset val="128"/>
      </rPr>
      <t>⇒算定用面積÷40㎡(5,000㎡超の部分は80㎡）</t>
    </r>
    <rPh sb="3" eb="4">
      <t>タ</t>
    </rPh>
    <rPh sb="5" eb="7">
      <t>チイキ</t>
    </rPh>
    <rPh sb="8" eb="10">
      <t>サンテイ</t>
    </rPh>
    <rPh sb="10" eb="11">
      <t>ヨウ</t>
    </rPh>
    <rPh sb="11" eb="13">
      <t>メンセキ</t>
    </rPh>
    <rPh sb="24" eb="25">
      <t>チョウ</t>
    </rPh>
    <rPh sb="26" eb="28">
      <t>ブブン</t>
    </rPh>
    <phoneticPr fontId="6"/>
  </si>
  <si>
    <t>5,000㎡超の部分</t>
    <rPh sb="6" eb="7">
      <t>チョウ</t>
    </rPh>
    <rPh sb="8" eb="9">
      <t>ブ</t>
    </rPh>
    <rPh sb="9" eb="10">
      <t>ブン</t>
    </rPh>
    <phoneticPr fontId="6"/>
  </si>
  <si>
    <t>原付</t>
    <rPh sb="0" eb="2">
      <t>ゲンツキ</t>
    </rPh>
    <phoneticPr fontId="6"/>
  </si>
  <si>
    <t>サイクルラックの設置</t>
    <rPh sb="8" eb="10">
      <t>セッチ</t>
    </rPh>
    <phoneticPr fontId="6"/>
  </si>
  <si>
    <t>有の場合はカタログ等添付</t>
    <rPh sb="0" eb="1">
      <t>アリ</t>
    </rPh>
    <rPh sb="2" eb="4">
      <t>バアイ</t>
    </rPh>
    <rPh sb="9" eb="10">
      <t>トウ</t>
    </rPh>
    <rPh sb="10" eb="12">
      <t>テンプ</t>
    </rPh>
    <phoneticPr fontId="6"/>
  </si>
  <si>
    <t>自転車駐車場の必要台数計算式</t>
    <rPh sb="0" eb="3">
      <t>ジテンシャ</t>
    </rPh>
    <rPh sb="3" eb="5">
      <t>チュウシャ</t>
    </rPh>
    <rPh sb="5" eb="6">
      <t>ジョウ</t>
    </rPh>
    <rPh sb="7" eb="9">
      <t>ヒツヨウ</t>
    </rPh>
    <rPh sb="9" eb="11">
      <t>ダイスウ</t>
    </rPh>
    <rPh sb="11" eb="14">
      <t>ケイサンシキ</t>
    </rPh>
    <phoneticPr fontId="2"/>
  </si>
  <si>
    <t>自転車</t>
    <rPh sb="0" eb="3">
      <t>ジテンシャ</t>
    </rPh>
    <phoneticPr fontId="2"/>
  </si>
  <si>
    <t>(ア）と（イ）以外の建築物の複合の場合は（ア）を選択すること</t>
    <rPh sb="7" eb="9">
      <t>イガイ</t>
    </rPh>
    <rPh sb="10" eb="13">
      <t>ケンチクブツ</t>
    </rPh>
    <rPh sb="14" eb="16">
      <t>フクゴウ</t>
    </rPh>
    <rPh sb="17" eb="19">
      <t>バアイ</t>
    </rPh>
    <rPh sb="24" eb="26">
      <t>センタク</t>
    </rPh>
    <phoneticPr fontId="2"/>
  </si>
  <si>
    <t>対象建築物用途</t>
    <rPh sb="0" eb="5">
      <t>タイショウケンチクブツ</t>
    </rPh>
    <rPh sb="5" eb="7">
      <t>ヨウト</t>
    </rPh>
    <phoneticPr fontId="2"/>
  </si>
  <si>
    <t>設置基準</t>
    <rPh sb="0" eb="2">
      <t>セッチ</t>
    </rPh>
    <rPh sb="2" eb="4">
      <t>キジュン</t>
    </rPh>
    <phoneticPr fontId="2"/>
  </si>
  <si>
    <t>（車）設置該当</t>
    <rPh sb="1" eb="2">
      <t>クルマ</t>
    </rPh>
    <rPh sb="3" eb="5">
      <t>セッチ</t>
    </rPh>
    <rPh sb="5" eb="7">
      <t>ガイトウ</t>
    </rPh>
    <phoneticPr fontId="2"/>
  </si>
  <si>
    <t>(自転車)設置該当</t>
    <rPh sb="1" eb="4">
      <t>ジテンシャ</t>
    </rPh>
    <rPh sb="5" eb="7">
      <t>セッチ</t>
    </rPh>
    <rPh sb="7" eb="9">
      <t>ガイトウ</t>
    </rPh>
    <phoneticPr fontId="2"/>
  </si>
  <si>
    <t>（ア）面積</t>
    <rPh sb="3" eb="5">
      <t>メンセキ</t>
    </rPh>
    <phoneticPr fontId="2"/>
  </si>
  <si>
    <t>（イ）面積</t>
    <rPh sb="3" eb="5">
      <t>メンセキ</t>
    </rPh>
    <phoneticPr fontId="2"/>
  </si>
  <si>
    <t>複合</t>
    <rPh sb="0" eb="2">
      <t>フクゴウ</t>
    </rPh>
    <phoneticPr fontId="2"/>
  </si>
  <si>
    <t>建物</t>
    <rPh sb="0" eb="2">
      <t>タテモノ</t>
    </rPh>
    <phoneticPr fontId="2"/>
  </si>
  <si>
    <t>基準</t>
    <rPh sb="0" eb="2">
      <t>キジュン</t>
    </rPh>
    <phoneticPr fontId="2"/>
  </si>
  <si>
    <t>主要用途</t>
    <rPh sb="0" eb="2">
      <t>シュヨウ</t>
    </rPh>
    <rPh sb="2" eb="4">
      <t>ヨウト</t>
    </rPh>
    <phoneticPr fontId="2"/>
  </si>
  <si>
    <t>対象建築物の用途区分の選択（右表を参照）</t>
    <rPh sb="0" eb="2">
      <t>タイショウ</t>
    </rPh>
    <rPh sb="2" eb="4">
      <t>ケンチク</t>
    </rPh>
    <rPh sb="4" eb="5">
      <t>ブツ</t>
    </rPh>
    <rPh sb="6" eb="8">
      <t>ヨウト</t>
    </rPh>
    <rPh sb="8" eb="10">
      <t>クブン</t>
    </rPh>
    <rPh sb="11" eb="13">
      <t>センタク</t>
    </rPh>
    <rPh sb="14" eb="15">
      <t>ウ</t>
    </rPh>
    <rPh sb="15" eb="16">
      <t>ヒョウ</t>
    </rPh>
    <rPh sb="17" eb="19">
      <t>サンショウ</t>
    </rPh>
    <phoneticPr fontId="2"/>
  </si>
  <si>
    <t>（ア）荷捌</t>
    <rPh sb="3" eb="5">
      <t>ニサバキ</t>
    </rPh>
    <phoneticPr fontId="2"/>
  </si>
  <si>
    <t>（イ）荷捌</t>
    <rPh sb="3" eb="5">
      <t>ニサバキ</t>
    </rPh>
    <phoneticPr fontId="2"/>
  </si>
  <si>
    <t>機械式駐車場の設置</t>
    <rPh sb="0" eb="2">
      <t>キカイ</t>
    </rPh>
    <rPh sb="2" eb="3">
      <t>シキ</t>
    </rPh>
    <rPh sb="3" eb="5">
      <t>チュウシャ</t>
    </rPh>
    <rPh sb="5" eb="6">
      <t>ジョウ</t>
    </rPh>
    <rPh sb="7" eb="9">
      <t>セッチ</t>
    </rPh>
    <phoneticPr fontId="2"/>
  </si>
  <si>
    <t>設置する場合はカタログ等を添付すること</t>
    <rPh sb="0" eb="2">
      <t>セッチ</t>
    </rPh>
    <rPh sb="4" eb="6">
      <t>バアイ</t>
    </rPh>
    <rPh sb="11" eb="12">
      <t>トウ</t>
    </rPh>
    <rPh sb="13" eb="15">
      <t>テンプ</t>
    </rPh>
    <phoneticPr fontId="2"/>
  </si>
  <si>
    <t>車荷捌</t>
    <rPh sb="0" eb="1">
      <t>クルマ</t>
    </rPh>
    <rPh sb="1" eb="3">
      <t>ニサバキ</t>
    </rPh>
    <phoneticPr fontId="2"/>
  </si>
  <si>
    <t>判定</t>
    <rPh sb="0" eb="2">
      <t>ハンテイ</t>
    </rPh>
    <phoneticPr fontId="2"/>
  </si>
  <si>
    <t>自転車原付・自動二輪</t>
    <rPh sb="0" eb="3">
      <t>ジテンシャ</t>
    </rPh>
    <rPh sb="3" eb="5">
      <t>ゲンツキ</t>
    </rPh>
    <rPh sb="6" eb="8">
      <t>ジドウ</t>
    </rPh>
    <rPh sb="8" eb="10">
      <t>ニリン</t>
    </rPh>
    <phoneticPr fontId="2"/>
  </si>
  <si>
    <t>原付</t>
    <rPh sb="0" eb="2">
      <t>ゲンツキ</t>
    </rPh>
    <phoneticPr fontId="2"/>
  </si>
  <si>
    <t>自動二輪</t>
    <rPh sb="0" eb="2">
      <t>ジドウ</t>
    </rPh>
    <rPh sb="2" eb="4">
      <t>ニリン</t>
    </rPh>
    <phoneticPr fontId="2"/>
  </si>
  <si>
    <t>(イ）</t>
    <phoneticPr fontId="2"/>
  </si>
  <si>
    <t>(ウ）</t>
    <phoneticPr fontId="2"/>
  </si>
  <si>
    <t>5の「（ア）」及び「（ア）（イ）複合」に〇がある場合
カーシェアリング制度の導入</t>
    <rPh sb="35" eb="37">
      <t>セイド</t>
    </rPh>
    <rPh sb="38" eb="40">
      <t>ドウニュウ</t>
    </rPh>
    <phoneticPr fontId="2"/>
  </si>
  <si>
    <t>計画台数が、12（イ）の必要台数より少ない場合は「見込み人数及び搬入車等の駐車台数で算出する」を選択すること</t>
    <rPh sb="0" eb="2">
      <t>ケイカク</t>
    </rPh>
    <rPh sb="2" eb="4">
      <t>ダイスウ</t>
    </rPh>
    <rPh sb="18" eb="19">
      <t>スク</t>
    </rPh>
    <rPh sb="21" eb="23">
      <t>バアイ</t>
    </rPh>
    <rPh sb="25" eb="27">
      <t>ミコ</t>
    </rPh>
    <rPh sb="28" eb="30">
      <t>ニンズウ</t>
    </rPh>
    <rPh sb="30" eb="31">
      <t>オヨ</t>
    </rPh>
    <rPh sb="32" eb="34">
      <t>ハンニュウ</t>
    </rPh>
    <rPh sb="34" eb="35">
      <t>シャ</t>
    </rPh>
    <rPh sb="35" eb="36">
      <t>トウ</t>
    </rPh>
    <rPh sb="37" eb="39">
      <t>チュウシャ</t>
    </rPh>
    <rPh sb="39" eb="41">
      <t>ダイスウ</t>
    </rPh>
    <rPh sb="42" eb="44">
      <t>サンシュツ</t>
    </rPh>
    <rPh sb="48" eb="50">
      <t>センタク</t>
    </rPh>
    <phoneticPr fontId="2"/>
  </si>
  <si>
    <t>20の面積から21の面積を除した面積（㎡）</t>
    <rPh sb="3" eb="5">
      <t>メンセキ</t>
    </rPh>
    <rPh sb="10" eb="12">
      <t>メンセキ</t>
    </rPh>
    <rPh sb="13" eb="14">
      <t>ジョ</t>
    </rPh>
    <rPh sb="16" eb="18">
      <t>メンセキ</t>
    </rPh>
    <phoneticPr fontId="2"/>
  </si>
  <si>
    <t>）</t>
    <phoneticPr fontId="2"/>
  </si>
  <si>
    <t>→</t>
    <phoneticPr fontId="2"/>
  </si>
  <si>
    <t>計画戸数
(ウ）有無</t>
    <rPh sb="0" eb="2">
      <t>ケイカク</t>
    </rPh>
    <rPh sb="2" eb="4">
      <t>コスウ</t>
    </rPh>
    <rPh sb="8" eb="10">
      <t>ウム</t>
    </rPh>
    <phoneticPr fontId="2"/>
  </si>
  <si>
    <t>機械式ラック又はサイクルラックの設置</t>
    <rPh sb="0" eb="2">
      <t>キカイ</t>
    </rPh>
    <rPh sb="2" eb="3">
      <t>シキ</t>
    </rPh>
    <rPh sb="6" eb="7">
      <t>マタ</t>
    </rPh>
    <rPh sb="16" eb="18">
      <t>セッチ</t>
    </rPh>
    <phoneticPr fontId="2"/>
  </si>
  <si>
    <t>機械式駐車場</t>
    <rPh sb="0" eb="2">
      <t>キカイ</t>
    </rPh>
    <rPh sb="2" eb="3">
      <t>シキ</t>
    </rPh>
    <rPh sb="3" eb="5">
      <t>チュウシャ</t>
    </rPh>
    <rPh sb="5" eb="6">
      <t>ジョウ</t>
    </rPh>
    <phoneticPr fontId="6"/>
  </si>
  <si>
    <t>（ア）のうち
敷地外</t>
    <rPh sb="7" eb="9">
      <t>シキチ</t>
    </rPh>
    <rPh sb="9" eb="10">
      <t>ガイ</t>
    </rPh>
    <phoneticPr fontId="2"/>
  </si>
  <si>
    <t>（イ）のうち
敷地外</t>
    <rPh sb="7" eb="9">
      <t>シキチ</t>
    </rPh>
    <rPh sb="9" eb="10">
      <t>ガイ</t>
    </rPh>
    <phoneticPr fontId="2"/>
  </si>
  <si>
    <t>(</t>
    <phoneticPr fontId="2"/>
  </si>
  <si>
    <t>)</t>
    <phoneticPr fontId="2"/>
  </si>
  <si>
    <t>)</t>
    <phoneticPr fontId="6"/>
  </si>
  <si>
    <t>敷地外</t>
    <rPh sb="0" eb="2">
      <t>シキチ</t>
    </rPh>
    <rPh sb="2" eb="3">
      <t>ガイ</t>
    </rPh>
    <phoneticPr fontId="2"/>
  </si>
  <si>
    <t>計画台数
（０の場合は０を入れてください）</t>
    <rPh sb="0" eb="2">
      <t>ケイカク</t>
    </rPh>
    <rPh sb="2" eb="4">
      <t>ダイスウ</t>
    </rPh>
    <rPh sb="8" eb="10">
      <t>バアイ</t>
    </rPh>
    <rPh sb="13" eb="14">
      <t>イ</t>
    </rPh>
    <phoneticPr fontId="2"/>
  </si>
  <si>
    <t>該当する場合は「大規模小売店舗を設置する者配慮すべき事項に関する指針」の台数以上</t>
    <rPh sb="0" eb="2">
      <t>ガイトウ</t>
    </rPh>
    <rPh sb="4" eb="6">
      <t>バアイ</t>
    </rPh>
    <rPh sb="8" eb="11">
      <t>ダイキボ</t>
    </rPh>
    <rPh sb="11" eb="13">
      <t>コウリ</t>
    </rPh>
    <rPh sb="13" eb="15">
      <t>テンポ</t>
    </rPh>
    <rPh sb="16" eb="18">
      <t>セッチ</t>
    </rPh>
    <rPh sb="20" eb="21">
      <t>モノ</t>
    </rPh>
    <rPh sb="21" eb="23">
      <t>ハイリョ</t>
    </rPh>
    <rPh sb="26" eb="28">
      <t>ジコウ</t>
    </rPh>
    <rPh sb="29" eb="30">
      <t>カン</t>
    </rPh>
    <rPh sb="32" eb="34">
      <t>シシン</t>
    </rPh>
    <rPh sb="36" eb="38">
      <t>ダイスウ</t>
    </rPh>
    <rPh sb="38" eb="40">
      <t>イジョウ</t>
    </rPh>
    <phoneticPr fontId="2"/>
  </si>
  <si>
    <t>設置対象判定</t>
    <rPh sb="0" eb="2">
      <t>セッチ</t>
    </rPh>
    <rPh sb="2" eb="4">
      <t>タイショウ</t>
    </rPh>
    <rPh sb="4" eb="6">
      <t>ハンテイ</t>
    </rPh>
    <phoneticPr fontId="2"/>
  </si>
  <si>
    <t>駐車施設の規模
標準駐車場　　　　幅２．５m以上　奥行５．０ｍ以上
軽自動車用　　　　幅２．０ｍ以上　奥行４．０ｍ以上
車いす用　　　　　 幅３．５ｍ以上　奥行５．０ｍ以上（要車いす表示）
荷さばき用　　　　幅２．５ｍ以上　奥行５．０ｍ以上（要荷さばき表示）
自転車用　　　 　　幅０．６ｍ以上　奥行１．９ｍ以上
原動機付自転車　幅０．９ｍ以上　奥行１．９ｍ以上
自動二輪車用　　 幅１．０ｍ以上　奥行２．３ｍ以上</t>
    <rPh sb="0" eb="2">
      <t>チュウシャ</t>
    </rPh>
    <rPh sb="2" eb="4">
      <t>シセツ</t>
    </rPh>
    <rPh sb="5" eb="7">
      <t>キボ</t>
    </rPh>
    <rPh sb="8" eb="10">
      <t>ヒョウジュン</t>
    </rPh>
    <rPh sb="10" eb="12">
      <t>チュウシャ</t>
    </rPh>
    <rPh sb="12" eb="13">
      <t>ジョウ</t>
    </rPh>
    <rPh sb="17" eb="18">
      <t>ハバ</t>
    </rPh>
    <rPh sb="22" eb="24">
      <t>イジョウ</t>
    </rPh>
    <rPh sb="25" eb="27">
      <t>オクユキ</t>
    </rPh>
    <rPh sb="31" eb="33">
      <t>イジョウ</t>
    </rPh>
    <rPh sb="34" eb="39">
      <t>ケイジドウシャヨウ</t>
    </rPh>
    <rPh sb="43" eb="44">
      <t>ハバ</t>
    </rPh>
    <rPh sb="48" eb="50">
      <t>イジョウ</t>
    </rPh>
    <rPh sb="51" eb="53">
      <t>オクユキ</t>
    </rPh>
    <rPh sb="57" eb="59">
      <t>イジョウ</t>
    </rPh>
    <rPh sb="63" eb="64">
      <t>ヨウ</t>
    </rPh>
    <rPh sb="70" eb="71">
      <t>ハバ</t>
    </rPh>
    <rPh sb="75" eb="77">
      <t>イジョウ</t>
    </rPh>
    <rPh sb="78" eb="80">
      <t>オクユキ</t>
    </rPh>
    <rPh sb="84" eb="86">
      <t>イジョウ</t>
    </rPh>
    <rPh sb="87" eb="88">
      <t>ヨウ</t>
    </rPh>
    <rPh sb="95" eb="96">
      <t>ニ</t>
    </rPh>
    <rPh sb="99" eb="100">
      <t>ヨウ</t>
    </rPh>
    <rPh sb="104" eb="105">
      <t>ハバ</t>
    </rPh>
    <rPh sb="109" eb="111">
      <t>イジョウ</t>
    </rPh>
    <rPh sb="112" eb="114">
      <t>オクユキ</t>
    </rPh>
    <rPh sb="118" eb="120">
      <t>イジョウ</t>
    </rPh>
    <rPh sb="121" eb="122">
      <t>ヨウ</t>
    </rPh>
    <rPh sb="122" eb="123">
      <t>ニ</t>
    </rPh>
    <rPh sb="126" eb="128">
      <t>ヒョウジ</t>
    </rPh>
    <rPh sb="130" eb="134">
      <t>ジテンシャヨウ</t>
    </rPh>
    <rPh sb="140" eb="141">
      <t>ハバ</t>
    </rPh>
    <rPh sb="145" eb="147">
      <t>イジョウ</t>
    </rPh>
    <rPh sb="148" eb="150">
      <t>オクユキ</t>
    </rPh>
    <rPh sb="154" eb="156">
      <t>イジョウ</t>
    </rPh>
    <rPh sb="157" eb="164">
      <t>ゲンドウキツキジテンシャ</t>
    </rPh>
    <rPh sb="165" eb="166">
      <t>ハバ</t>
    </rPh>
    <rPh sb="170" eb="172">
      <t>イジョウ</t>
    </rPh>
    <rPh sb="173" eb="175">
      <t>オクユキ</t>
    </rPh>
    <rPh sb="179" eb="181">
      <t>イジョウ</t>
    </rPh>
    <rPh sb="182" eb="184">
      <t>ジドウ</t>
    </rPh>
    <rPh sb="184" eb="187">
      <t>ニリンシャ</t>
    </rPh>
    <rPh sb="187" eb="188">
      <t>ヨウ</t>
    </rPh>
    <rPh sb="191" eb="192">
      <t>ハバ</t>
    </rPh>
    <rPh sb="196" eb="198">
      <t>イジョウ</t>
    </rPh>
    <rPh sb="199" eb="201">
      <t>オクユキ</t>
    </rPh>
    <rPh sb="205" eb="207">
      <t>イジョウ</t>
    </rPh>
    <phoneticPr fontId="2"/>
  </si>
  <si>
    <t>荷さばき設置要否</t>
    <rPh sb="0" eb="1">
      <t>ニ</t>
    </rPh>
    <rPh sb="4" eb="6">
      <t>セッチ</t>
    </rPh>
    <rPh sb="6" eb="8">
      <t>ヨウヒ</t>
    </rPh>
    <phoneticPr fontId="2"/>
  </si>
  <si>
    <t>車いす駐車場の設置</t>
    <rPh sb="0" eb="1">
      <t>クルマ</t>
    </rPh>
    <rPh sb="3" eb="5">
      <t>チュウシャ</t>
    </rPh>
    <rPh sb="5" eb="6">
      <t>ジョウ</t>
    </rPh>
    <rPh sb="7" eb="9">
      <t>セッチ</t>
    </rPh>
    <phoneticPr fontId="2"/>
  </si>
  <si>
    <t>機械式駐車場を設置する場合は平面図、立面図を添付すること</t>
    <rPh sb="0" eb="2">
      <t>キカイ</t>
    </rPh>
    <rPh sb="2" eb="3">
      <t>シキ</t>
    </rPh>
    <rPh sb="3" eb="5">
      <t>チュウシャ</t>
    </rPh>
    <rPh sb="5" eb="6">
      <t>ジョウ</t>
    </rPh>
    <rPh sb="7" eb="9">
      <t>セッチ</t>
    </rPh>
    <rPh sb="11" eb="13">
      <t>バアイ</t>
    </rPh>
    <rPh sb="14" eb="17">
      <t>ヘイメンズ</t>
    </rPh>
    <rPh sb="18" eb="21">
      <t>リツメンズ</t>
    </rPh>
    <rPh sb="22" eb="24">
      <t>テンプ</t>
    </rPh>
    <phoneticPr fontId="2"/>
  </si>
  <si>
    <t>機械式駐車場有の場合は平面図、立面図等添付</t>
    <rPh sb="0" eb="6">
      <t>キカイシキチュウシャジョウ</t>
    </rPh>
    <rPh sb="6" eb="7">
      <t>アリ</t>
    </rPh>
    <rPh sb="8" eb="10">
      <t>バアイ</t>
    </rPh>
    <rPh sb="11" eb="14">
      <t>ヘイメンズ</t>
    </rPh>
    <rPh sb="15" eb="18">
      <t>リツメンズ</t>
    </rPh>
    <rPh sb="18" eb="19">
      <t>トウ</t>
    </rPh>
    <rPh sb="19" eb="21">
      <t>テンプ</t>
    </rPh>
    <phoneticPr fontId="6"/>
  </si>
  <si>
    <t>車いす用表示</t>
    <rPh sb="0" eb="1">
      <t>クルマ</t>
    </rPh>
    <rPh sb="3" eb="4">
      <t>ヨウ</t>
    </rPh>
    <rPh sb="4" eb="6">
      <t>ヒョウジ</t>
    </rPh>
    <phoneticPr fontId="6"/>
  </si>
  <si>
    <t>⇒</t>
    <phoneticPr fontId="2"/>
  </si>
  <si>
    <t>（ア）計画戸数を６戸で除した数（小数点切り上げ）
カーシェア有（カーシェア用の駐車場は必要台数に含める）
→計画戸数に4分の３を乗じた数に6戸で除した数（小数点切り上げ）
（イ）延べ床面積を２００㎡で除した数（小数点切り上げ）</t>
    <rPh sb="3" eb="5">
      <t>ケイカク</t>
    </rPh>
    <rPh sb="5" eb="7">
      <t>コスウ</t>
    </rPh>
    <rPh sb="9" eb="10">
      <t>コ</t>
    </rPh>
    <rPh sb="11" eb="12">
      <t>ジョ</t>
    </rPh>
    <rPh sb="14" eb="15">
      <t>カズ</t>
    </rPh>
    <rPh sb="16" eb="19">
      <t>ショウスウテン</t>
    </rPh>
    <rPh sb="19" eb="20">
      <t>キ</t>
    </rPh>
    <rPh sb="21" eb="22">
      <t>ア</t>
    </rPh>
    <rPh sb="30" eb="31">
      <t>アリ</t>
    </rPh>
    <rPh sb="37" eb="38">
      <t>ヨウ</t>
    </rPh>
    <rPh sb="39" eb="41">
      <t>チュウシャ</t>
    </rPh>
    <rPh sb="41" eb="42">
      <t>ジョウ</t>
    </rPh>
    <rPh sb="43" eb="45">
      <t>ヒツヨウ</t>
    </rPh>
    <rPh sb="45" eb="47">
      <t>ダイスウ</t>
    </rPh>
    <rPh sb="48" eb="49">
      <t>フク</t>
    </rPh>
    <rPh sb="54" eb="56">
      <t>ケイカク</t>
    </rPh>
    <rPh sb="56" eb="58">
      <t>コスウ</t>
    </rPh>
    <rPh sb="60" eb="61">
      <t>ブン</t>
    </rPh>
    <rPh sb="64" eb="65">
      <t>ジョウ</t>
    </rPh>
    <rPh sb="67" eb="68">
      <t>カズ</t>
    </rPh>
    <rPh sb="70" eb="71">
      <t>コ</t>
    </rPh>
    <rPh sb="72" eb="73">
      <t>ジョ</t>
    </rPh>
    <rPh sb="75" eb="76">
      <t>カズ</t>
    </rPh>
    <rPh sb="77" eb="80">
      <t>ショウスウテン</t>
    </rPh>
    <rPh sb="80" eb="81">
      <t>キ</t>
    </rPh>
    <rPh sb="82" eb="83">
      <t>ア</t>
    </rPh>
    <phoneticPr fontId="2"/>
  </si>
  <si>
    <t>(ア）の計画戸数が50戸以上の場合は1台以上
（イ）の延床面積が2,000を超える場合は1台以上
（ア）（イ）いずれも標準駐車場の台数に含めることができる。</t>
    <rPh sb="4" eb="6">
      <t>ケイカク</t>
    </rPh>
    <rPh sb="6" eb="8">
      <t>コスウ</t>
    </rPh>
    <rPh sb="11" eb="12">
      <t>コ</t>
    </rPh>
    <rPh sb="12" eb="14">
      <t>イジョウ</t>
    </rPh>
    <rPh sb="15" eb="17">
      <t>バアイ</t>
    </rPh>
    <rPh sb="19" eb="22">
      <t>ダイイジョウ</t>
    </rPh>
    <rPh sb="59" eb="61">
      <t>ヒョウジュン</t>
    </rPh>
    <rPh sb="61" eb="63">
      <t>チュウシャ</t>
    </rPh>
    <rPh sb="63" eb="64">
      <t>ジョウ</t>
    </rPh>
    <rPh sb="65" eb="67">
      <t>ダイスウ</t>
    </rPh>
    <rPh sb="68" eb="69">
      <t>フク</t>
    </rPh>
    <phoneticPr fontId="2"/>
  </si>
  <si>
    <t>Ver.2026.2.1</t>
    <phoneticPr fontId="2"/>
  </si>
  <si>
    <t>街づくり条例第４７条関係　駐車施設の整備に関する基準に係る算出書</t>
    <rPh sb="0" eb="1">
      <t>マチ</t>
    </rPh>
    <rPh sb="4" eb="6">
      <t>ジョウレイ</t>
    </rPh>
    <rPh sb="6" eb="7">
      <t>ダイ</t>
    </rPh>
    <rPh sb="9" eb="10">
      <t>ジョウ</t>
    </rPh>
    <rPh sb="10" eb="12">
      <t>カンケイ</t>
    </rPh>
    <rPh sb="13" eb="15">
      <t>チュウシャ</t>
    </rPh>
    <rPh sb="15" eb="17">
      <t>シセツ</t>
    </rPh>
    <rPh sb="18" eb="20">
      <t>セイビ</t>
    </rPh>
    <rPh sb="21" eb="22">
      <t>カン</t>
    </rPh>
    <rPh sb="24" eb="26">
      <t>キジュン</t>
    </rPh>
    <rPh sb="27" eb="28">
      <t>カカ</t>
    </rPh>
    <rPh sb="29" eb="31">
      <t>サンシュツ</t>
    </rPh>
    <rPh sb="31" eb="32">
      <t>ショ</t>
    </rPh>
    <phoneticPr fontId="2"/>
  </si>
  <si>
    <t>街づくり条例第47条関係
駐車施設の整備に関する基準に係る算出書入力フォーム</t>
    <rPh sb="0" eb="1">
      <t>マチ</t>
    </rPh>
    <rPh sb="4" eb="6">
      <t>ジョウレイ</t>
    </rPh>
    <rPh sb="6" eb="7">
      <t>ダイ</t>
    </rPh>
    <rPh sb="9" eb="10">
      <t>ジョウ</t>
    </rPh>
    <rPh sb="10" eb="12">
      <t>カンケイ</t>
    </rPh>
    <rPh sb="13" eb="15">
      <t>チュウシャ</t>
    </rPh>
    <rPh sb="15" eb="17">
      <t>シセツ</t>
    </rPh>
    <rPh sb="18" eb="20">
      <t>セイビ</t>
    </rPh>
    <rPh sb="21" eb="22">
      <t>カン</t>
    </rPh>
    <rPh sb="24" eb="26">
      <t>キジュン</t>
    </rPh>
    <rPh sb="27" eb="28">
      <t>カカ</t>
    </rPh>
    <rPh sb="29" eb="31">
      <t>サンシュツ</t>
    </rPh>
    <rPh sb="31" eb="32">
      <t>ショ</t>
    </rPh>
    <rPh sb="32" eb="34">
      <t>ニュウリョク</t>
    </rPh>
    <phoneticPr fontId="2"/>
  </si>
  <si>
    <t>対象建築物の用途の選択（右表を参照）</t>
    <rPh sb="0" eb="2">
      <t>タイショウ</t>
    </rPh>
    <rPh sb="2" eb="4">
      <t>ケンチク</t>
    </rPh>
    <rPh sb="4" eb="5">
      <t>ブツ</t>
    </rPh>
    <rPh sb="6" eb="8">
      <t>ヨウト</t>
    </rPh>
    <rPh sb="9" eb="11">
      <t>センタク</t>
    </rPh>
    <rPh sb="12" eb="13">
      <t>ウ</t>
    </rPh>
    <rPh sb="13" eb="14">
      <t>ヒョウ</t>
    </rPh>
    <rPh sb="15" eb="17">
      <t>サンショウ</t>
    </rPh>
    <phoneticPr fontId="2"/>
  </si>
  <si>
    <t>白色のセルは全て入力してください。
色付きのセルは入力しないでください。
全て入力しましたら「②提出書類」シートを印刷し、必要書類と併せてご提出ください。
※自動車・自転車駐車場ともに対象建築物用途が該当しない場合は、提出不要です。</t>
    <rPh sb="0" eb="1">
      <t>シロ</t>
    </rPh>
    <rPh sb="1" eb="2">
      <t>イロ</t>
    </rPh>
    <rPh sb="6" eb="7">
      <t>スベ</t>
    </rPh>
    <rPh sb="8" eb="10">
      <t>ニュウリョク</t>
    </rPh>
    <rPh sb="18" eb="20">
      <t>イロツ</t>
    </rPh>
    <rPh sb="25" eb="27">
      <t>ニュウリョク</t>
    </rPh>
    <rPh sb="37" eb="38">
      <t>スベ</t>
    </rPh>
    <rPh sb="39" eb="41">
      <t>ニュウリョク</t>
    </rPh>
    <rPh sb="48" eb="50">
      <t>テイシュツ</t>
    </rPh>
    <rPh sb="50" eb="52">
      <t>ショルイ</t>
    </rPh>
    <rPh sb="57" eb="59">
      <t>インサツ</t>
    </rPh>
    <rPh sb="61" eb="63">
      <t>ヒツヨウ</t>
    </rPh>
    <rPh sb="63" eb="65">
      <t>ショルイ</t>
    </rPh>
    <rPh sb="66" eb="67">
      <t>アワ</t>
    </rPh>
    <rPh sb="70" eb="72">
      <t>テイシュツ</t>
    </rPh>
    <rPh sb="79" eb="82">
      <t>ジドウシャ</t>
    </rPh>
    <rPh sb="83" eb="86">
      <t>ジテンシャ</t>
    </rPh>
    <rPh sb="86" eb="88">
      <t>チュウシャ</t>
    </rPh>
    <rPh sb="88" eb="89">
      <t>ジョウ</t>
    </rPh>
    <rPh sb="92" eb="94">
      <t>タイショウ</t>
    </rPh>
    <rPh sb="94" eb="97">
      <t>ケンチクブツ</t>
    </rPh>
    <rPh sb="97" eb="99">
      <t>ヨウト</t>
    </rPh>
    <rPh sb="100" eb="102">
      <t>ガイトウ</t>
    </rPh>
    <rPh sb="105" eb="107">
      <t>バアイ</t>
    </rPh>
    <rPh sb="109" eb="111">
      <t>テイシュツ</t>
    </rPh>
    <rPh sb="111" eb="113">
      <t>フヨウ</t>
    </rPh>
    <phoneticPr fontId="2"/>
  </si>
  <si>
    <t>自動車</t>
    <rPh sb="0" eb="3">
      <t>ジドウシャ</t>
    </rPh>
    <phoneticPr fontId="2"/>
  </si>
  <si>
    <t>百貨店その他の店舗
飲食店・料理店・カフェー
事務所・倉庫・工場・卸売市場
病院
遊技場・ボーリング場
旅館・ホテル
劇場・映画館・演芸場・観覧場
結婚式場・斎場・展示場
バー・キャバレー・ナイトクラブ
舞踏場・体育館・待合
集会場・公会堂・放送用スタジオ
※墓地等は第55条参照</t>
    <rPh sb="131" eb="133">
      <t>ボチ</t>
    </rPh>
    <rPh sb="133" eb="134">
      <t>トウ</t>
    </rPh>
    <rPh sb="135" eb="136">
      <t>ダイ</t>
    </rPh>
    <rPh sb="138" eb="139">
      <t>ジョウ</t>
    </rPh>
    <rPh sb="139" eb="141">
      <t>サンショウ</t>
    </rPh>
    <phoneticPr fontId="2"/>
  </si>
  <si>
    <t>単身世帯</t>
    <rPh sb="0" eb="2">
      <t>タンシン</t>
    </rPh>
    <rPh sb="2" eb="4">
      <t>セタイ</t>
    </rPh>
    <phoneticPr fontId="6"/>
  </si>
  <si>
    <t>単身世帯以外</t>
    <rPh sb="0" eb="2">
      <t>タンシン</t>
    </rPh>
    <rPh sb="2" eb="4">
      <t>セタイ</t>
    </rPh>
    <rPh sb="4" eb="6">
      <t>イガイ</t>
    </rPh>
    <phoneticPr fontId="6"/>
  </si>
  <si>
    <t>区分</t>
    <rPh sb="0" eb="2">
      <t>クブン</t>
    </rPh>
    <phoneticPr fontId="6"/>
  </si>
  <si>
    <t>２自転車駐車場</t>
    <rPh sb="1" eb="4">
      <t>ジテンシャ</t>
    </rPh>
    <rPh sb="4" eb="6">
      <t>チュウシャ</t>
    </rPh>
    <rPh sb="6" eb="7">
      <t>ジョウ</t>
    </rPh>
    <phoneticPr fontId="6"/>
  </si>
  <si>
    <t>１２の（イ）の必要台数を適用する</t>
    <rPh sb="7" eb="9">
      <t>ヒツヨウ</t>
    </rPh>
    <rPh sb="9" eb="11">
      <t>ダイスウ</t>
    </rPh>
    <rPh sb="12" eb="14">
      <t>テキヨウ</t>
    </rPh>
    <phoneticPr fontId="2"/>
  </si>
  <si>
    <t>延床面積1,000㎡超</t>
    <rPh sb="10" eb="11">
      <t>チョウ</t>
    </rPh>
    <phoneticPr fontId="6"/>
  </si>
  <si>
    <t>算定用面積500㎡超の</t>
    <rPh sb="0" eb="2">
      <t>サンテイ</t>
    </rPh>
    <rPh sb="2" eb="3">
      <t>ヨウ</t>
    </rPh>
    <rPh sb="3" eb="5">
      <t>メンセキ</t>
    </rPh>
    <rPh sb="9" eb="10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</si>
</sst>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"/>
  </numFmts>
  <fonts count="24"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5" fillId="0" borderId="0"/>
    <xf numFmtId="0" fontId="13" fillId="0" borderId="0"/>
  </cellStyleXfs>
  <cellXfs count="3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28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4" xfId="2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12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4" fillId="0" borderId="0" xfId="2" applyFont="1" applyAlignment="1">
      <alignment vertical="center" shrinkToFit="1"/>
    </xf>
    <xf numFmtId="0" fontId="14" fillId="0" borderId="15" xfId="2" applyFont="1" applyBorder="1" applyAlignment="1">
      <alignment vertical="center" shrinkToFit="1"/>
    </xf>
    <xf numFmtId="3" fontId="16" fillId="0" borderId="6" xfId="2" applyNumberFormat="1" applyFont="1" applyBorder="1" applyAlignment="1">
      <alignment vertical="center" shrinkToFit="1"/>
    </xf>
    <xf numFmtId="0" fontId="14" fillId="0" borderId="10" xfId="2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4" fillId="0" borderId="14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 applyProtection="1">
      <alignment horizontal="left" vertical="center" wrapText="1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4" fontId="16" fillId="0" borderId="0" xfId="2" applyNumberFormat="1" applyFont="1" applyAlignment="1">
      <alignment horizontal="center" vertical="center" shrinkToFit="1"/>
    </xf>
    <xf numFmtId="4" fontId="16" fillId="0" borderId="4" xfId="2" applyNumberFormat="1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shrinkToFit="1"/>
    </xf>
    <xf numFmtId="178" fontId="17" fillId="0" borderId="0" xfId="2" applyNumberFormat="1" applyFont="1" applyAlignment="1">
      <alignment horizontal="center" vertical="center" shrinkToFit="1"/>
    </xf>
    <xf numFmtId="0" fontId="14" fillId="0" borderId="6" xfId="2" applyFont="1" applyBorder="1" applyAlignment="1">
      <alignment horizontal="right" vertical="center"/>
    </xf>
    <xf numFmtId="0" fontId="14" fillId="0" borderId="1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6" fillId="0" borderId="4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78" fontId="14" fillId="0" borderId="1" xfId="2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/>
    </xf>
    <xf numFmtId="0" fontId="14" fillId="0" borderId="1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3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4" fontId="14" fillId="0" borderId="14" xfId="2" applyNumberFormat="1" applyFont="1" applyBorder="1" applyAlignment="1">
      <alignment horizontal="center" vertical="center" shrinkToFit="1"/>
    </xf>
    <xf numFmtId="4" fontId="14" fillId="0" borderId="0" xfId="2" applyNumberFormat="1" applyFont="1" applyAlignment="1">
      <alignment horizontal="center" vertical="center" shrinkToFit="1"/>
    </xf>
    <xf numFmtId="0" fontId="14" fillId="0" borderId="14" xfId="2" quotePrefix="1" applyFont="1" applyBorder="1" applyAlignment="1">
      <alignment horizontal="left" vertical="center"/>
    </xf>
    <xf numFmtId="0" fontId="17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0" xfId="2" applyFont="1" applyAlignment="1">
      <alignment horizontal="left" vertical="center" shrinkToFit="1"/>
    </xf>
    <xf numFmtId="0" fontId="17" fillId="0" borderId="15" xfId="2" applyFont="1" applyBorder="1" applyAlignment="1">
      <alignment horizontal="left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176" fontId="16" fillId="0" borderId="4" xfId="2" applyNumberFormat="1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left" vertical="center" shrinkToFit="1"/>
    </xf>
    <xf numFmtId="0" fontId="17" fillId="0" borderId="12" xfId="2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/>
    </xf>
    <xf numFmtId="176" fontId="16" fillId="0" borderId="8" xfId="2" applyNumberFormat="1" applyFont="1" applyBorder="1" applyAlignment="1">
      <alignment horizontal="center" vertical="center" shrinkToFit="1"/>
    </xf>
    <xf numFmtId="176" fontId="16" fillId="0" borderId="5" xfId="2" applyNumberFormat="1" applyFont="1" applyBorder="1" applyAlignment="1">
      <alignment horizontal="center" vertical="center" shrinkToFit="1"/>
    </xf>
    <xf numFmtId="176" fontId="16" fillId="0" borderId="13" xfId="2" applyNumberFormat="1" applyFont="1" applyBorder="1" applyAlignment="1">
      <alignment horizontal="center" vertical="center" shrinkToFit="1"/>
    </xf>
    <xf numFmtId="176" fontId="16" fillId="0" borderId="14" xfId="2" applyNumberFormat="1" applyFont="1" applyBorder="1" applyAlignment="1">
      <alignment horizontal="center" vertical="center" shrinkToFit="1"/>
    </xf>
    <xf numFmtId="176" fontId="16" fillId="0" borderId="9" xfId="2" applyNumberFormat="1" applyFont="1" applyBorder="1" applyAlignment="1">
      <alignment horizontal="center" vertical="center" shrinkToFit="1"/>
    </xf>
    <xf numFmtId="176" fontId="16" fillId="0" borderId="7" xfId="2" applyNumberFormat="1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left" vertical="center" shrinkToFit="1"/>
    </xf>
    <xf numFmtId="0" fontId="17" fillId="0" borderId="8" xfId="2" applyFont="1" applyBorder="1" applyAlignment="1">
      <alignment horizontal="left" vertical="center" shrinkToFit="1"/>
    </xf>
    <xf numFmtId="0" fontId="17" fillId="0" borderId="13" xfId="2" applyFont="1" applyBorder="1" applyAlignment="1">
      <alignment horizontal="left" vertical="center" shrinkToFit="1"/>
    </xf>
    <xf numFmtId="0" fontId="17" fillId="0" borderId="9" xfId="2" applyFont="1" applyBorder="1" applyAlignment="1">
      <alignment horizontal="left" vertical="center" shrinkToFit="1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176" fontId="17" fillId="0" borderId="6" xfId="2" applyNumberFormat="1" applyFont="1" applyBorder="1" applyAlignment="1">
      <alignment horizontal="center" vertical="center" shrinkToFit="1"/>
    </xf>
    <xf numFmtId="0" fontId="17" fillId="0" borderId="6" xfId="2" applyFont="1" applyBorder="1" applyAlignment="1">
      <alignment horizontal="left" vertical="center" shrinkToFit="1"/>
    </xf>
    <xf numFmtId="0" fontId="14" fillId="0" borderId="6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/>
    </xf>
    <xf numFmtId="0" fontId="14" fillId="0" borderId="4" xfId="2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14" fillId="0" borderId="14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5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15" fillId="0" borderId="11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176" fontId="17" fillId="0" borderId="0" xfId="2" applyNumberFormat="1" applyFont="1" applyAlignment="1">
      <alignment horizontal="center" vertical="center" shrinkToFit="1"/>
    </xf>
    <xf numFmtId="0" fontId="15" fillId="0" borderId="0" xfId="2" applyFont="1" applyAlignment="1" applyProtection="1">
      <alignment horizontal="center" vertical="center"/>
      <protection locked="0"/>
    </xf>
    <xf numFmtId="177" fontId="17" fillId="0" borderId="0" xfId="2" applyNumberFormat="1" applyFont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176" fontId="16" fillId="0" borderId="0" xfId="2" applyNumberFormat="1" applyFont="1" applyAlignment="1" applyProtection="1">
      <alignment horizontal="center" vertical="center" shrinkToFit="1"/>
    </xf>
    <xf numFmtId="176" fontId="16" fillId="0" borderId="0" xfId="2" applyNumberFormat="1" applyFont="1" applyAlignment="1">
      <alignment horizontal="center" vertical="center" shrinkToFit="1"/>
    </xf>
    <xf numFmtId="0" fontId="16" fillId="0" borderId="4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8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center" vertical="center" shrinkToFit="1"/>
    </xf>
    <xf numFmtId="3" fontId="16" fillId="0" borderId="1" xfId="2" applyNumberFormat="1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2" xfId="0" applyBorder="1" applyAlignment="1">
      <alignment vertical="center"/>
    </xf>
    <xf numFmtId="3" fontId="16" fillId="0" borderId="5" xfId="2" applyNumberFormat="1" applyFont="1" applyBorder="1" applyAlignment="1">
      <alignment horizontal="center" vertical="center" shrinkToFit="1"/>
    </xf>
    <xf numFmtId="3" fontId="16" fillId="0" borderId="6" xfId="2" applyNumberFormat="1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3" fontId="16" fillId="0" borderId="30" xfId="2" applyNumberFormat="1" applyFont="1" applyBorder="1" applyAlignment="1">
      <alignment horizontal="center" vertical="center" shrinkToFit="1"/>
    </xf>
    <xf numFmtId="3" fontId="16" fillId="0" borderId="28" xfId="2" applyNumberFormat="1" applyFont="1" applyBorder="1" applyAlignment="1">
      <alignment horizontal="center" vertical="center" shrinkToFit="1"/>
    </xf>
    <xf numFmtId="0" fontId="22" fillId="0" borderId="0" xfId="2" applyFont="1" applyBorder="1" applyAlignment="1">
      <alignment horizontal="center" vertical="center"/>
    </xf>
    <xf numFmtId="0" fontId="14" fillId="5" borderId="16" xfId="2" applyFont="1" applyFill="1" applyBorder="1" applyAlignment="1">
      <alignment horizontal="center" vertical="center"/>
    </xf>
    <xf numFmtId="0" fontId="14" fillId="5" borderId="17" xfId="2" applyFont="1" applyFill="1" applyBorder="1" applyAlignment="1">
      <alignment horizontal="center" vertical="center"/>
    </xf>
    <xf numFmtId="0" fontId="14" fillId="5" borderId="18" xfId="2" applyFont="1" applyFill="1" applyBorder="1" applyAlignment="1">
      <alignment horizontal="center" vertical="center"/>
    </xf>
    <xf numFmtId="0" fontId="14" fillId="5" borderId="23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/>
    </xf>
    <xf numFmtId="0" fontId="14" fillId="5" borderId="12" xfId="2" applyFont="1" applyFill="1" applyBorder="1" applyAlignment="1">
      <alignment horizontal="center" vertical="center"/>
    </xf>
    <xf numFmtId="0" fontId="15" fillId="5" borderId="19" xfId="2" applyFont="1" applyFill="1" applyBorder="1" applyAlignment="1">
      <alignment horizontal="center" vertical="center"/>
    </xf>
    <xf numFmtId="0" fontId="15" fillId="5" borderId="20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/>
    </xf>
    <xf numFmtId="0" fontId="14" fillId="5" borderId="10" xfId="2" applyFont="1" applyFill="1" applyBorder="1" applyAlignment="1">
      <alignment horizontal="center" vertical="center"/>
    </xf>
    <xf numFmtId="0" fontId="14" fillId="5" borderId="24" xfId="2" applyFont="1" applyFill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1" xfId="2" applyFont="1" applyBorder="1" applyAlignment="1" applyProtection="1">
      <alignment horizontal="center" vertical="center"/>
      <protection locked="0"/>
    </xf>
    <xf numFmtId="3" fontId="14" fillId="0" borderId="1" xfId="2" applyNumberFormat="1" applyFont="1" applyBorder="1" applyAlignment="1">
      <alignment horizontal="center" vertical="center" shrinkToFit="1"/>
    </xf>
    <xf numFmtId="177" fontId="17" fillId="0" borderId="4" xfId="2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標準" xfId="0" builtinId="0"/>
    <cellStyle name="標準 2" xfId="1" xr:uid="{75B87302-C285-4E2B-9A4E-295F5DC4AD36}"/>
    <cellStyle name="標準 3" xfId="2" xr:uid="{FA9FF1F6-D08E-43B3-8DDB-A4AE0C1344D9}"/>
  </cellStyles>
  <dxfs count="7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9AD8-119A-4ED8-9654-EC56CA54D795}">
  <dimension ref="A1:N52"/>
  <sheetViews>
    <sheetView showGridLines="0" tabSelected="1" zoomScale="115" zoomScaleNormal="115" workbookViewId="0">
      <selection activeCell="H5" sqref="H5:J5"/>
    </sheetView>
  </sheetViews>
  <sheetFormatPr defaultRowHeight="21" customHeight="1"/>
  <cols>
    <col min="1" max="1" width="4.25" style="4" customWidth="1"/>
    <col min="2" max="5" width="7.875" style="1" customWidth="1"/>
    <col min="6" max="6" width="8" style="1" customWidth="1"/>
    <col min="7" max="7" width="6" style="1" customWidth="1"/>
    <col min="8" max="10" width="9.5" style="1" customWidth="1"/>
    <col min="11" max="11" width="3.5" style="1" hidden="1" customWidth="1"/>
    <col min="12" max="12" width="16.375" style="1" bestFit="1" customWidth="1"/>
    <col min="13" max="13" width="8.25" style="1" customWidth="1"/>
    <col min="14" max="14" width="35.375" style="1" customWidth="1"/>
    <col min="15" max="15" width="39.5" style="1" customWidth="1"/>
    <col min="16" max="16" width="19.25" style="1" bestFit="1" customWidth="1"/>
    <col min="17" max="16384" width="9" style="1"/>
  </cols>
  <sheetData>
    <row r="1" spans="1:14" ht="21" customHeight="1">
      <c r="A1" s="121" t="s">
        <v>195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4" ht="21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2"/>
      <c r="L2" s="3" t="s">
        <v>25</v>
      </c>
      <c r="M2" s="47"/>
      <c r="N2" s="47"/>
    </row>
    <row r="3" spans="1:14" ht="58.5" customHeight="1">
      <c r="A3" s="122" t="s">
        <v>197</v>
      </c>
      <c r="B3" s="123"/>
      <c r="C3" s="123"/>
      <c r="D3" s="123"/>
      <c r="E3" s="123"/>
      <c r="F3" s="123"/>
      <c r="G3" s="123"/>
      <c r="H3" s="123"/>
      <c r="I3" s="123"/>
      <c r="J3" s="124"/>
      <c r="K3" s="2"/>
      <c r="L3" s="150" t="s">
        <v>39</v>
      </c>
      <c r="M3" s="50" t="s">
        <v>17</v>
      </c>
      <c r="N3" s="48" t="s">
        <v>27</v>
      </c>
    </row>
    <row r="4" spans="1:14" ht="21" customHeight="1">
      <c r="A4" s="61" t="s">
        <v>26</v>
      </c>
      <c r="B4" s="62"/>
      <c r="C4" s="62"/>
      <c r="D4" s="62"/>
      <c r="E4" s="62"/>
      <c r="F4" s="62"/>
      <c r="G4" s="63"/>
      <c r="H4" s="61" t="s">
        <v>2</v>
      </c>
      <c r="I4" s="62"/>
      <c r="J4" s="63"/>
      <c r="K4" s="8"/>
      <c r="L4" s="151"/>
      <c r="M4" s="51"/>
      <c r="N4" s="49"/>
    </row>
    <row r="5" spans="1:14" ht="21" customHeight="1">
      <c r="A5" s="41">
        <v>1</v>
      </c>
      <c r="B5" s="65" t="s">
        <v>154</v>
      </c>
      <c r="C5" s="65"/>
      <c r="D5" s="65"/>
      <c r="E5" s="65"/>
      <c r="F5" s="65"/>
      <c r="G5" s="66"/>
      <c r="H5" s="153"/>
      <c r="I5" s="154"/>
      <c r="J5" s="155"/>
      <c r="K5" s="8"/>
      <c r="L5" s="151"/>
      <c r="M5" s="50" t="s">
        <v>18</v>
      </c>
      <c r="N5" s="53" t="s">
        <v>199</v>
      </c>
    </row>
    <row r="6" spans="1:14" ht="21" customHeight="1">
      <c r="A6" s="41">
        <v>2</v>
      </c>
      <c r="B6" s="64" t="s">
        <v>155</v>
      </c>
      <c r="C6" s="65"/>
      <c r="D6" s="65"/>
      <c r="E6" s="65"/>
      <c r="F6" s="65"/>
      <c r="G6" s="66"/>
      <c r="H6" s="84"/>
      <c r="I6" s="85"/>
      <c r="J6" s="85"/>
      <c r="K6" s="8"/>
      <c r="L6" s="151"/>
      <c r="M6" s="52"/>
      <c r="N6" s="54"/>
    </row>
    <row r="7" spans="1:14" ht="21" customHeight="1">
      <c r="A7" s="41">
        <v>3</v>
      </c>
      <c r="B7" s="64" t="s">
        <v>20</v>
      </c>
      <c r="C7" s="65"/>
      <c r="D7" s="65"/>
      <c r="E7" s="65"/>
      <c r="F7" s="65"/>
      <c r="G7" s="66"/>
      <c r="H7" s="84"/>
      <c r="I7" s="85"/>
      <c r="J7" s="85"/>
      <c r="K7" s="8"/>
      <c r="L7" s="151"/>
      <c r="M7" s="52"/>
      <c r="N7" s="54"/>
    </row>
    <row r="8" spans="1:14" ht="21" customHeight="1">
      <c r="A8" s="41">
        <v>4</v>
      </c>
      <c r="B8" s="64" t="s">
        <v>21</v>
      </c>
      <c r="C8" s="65"/>
      <c r="D8" s="65"/>
      <c r="E8" s="65"/>
      <c r="F8" s="65"/>
      <c r="G8" s="66"/>
      <c r="H8" s="86"/>
      <c r="I8" s="85"/>
      <c r="J8" s="85"/>
      <c r="K8" s="8"/>
      <c r="L8" s="151"/>
      <c r="M8" s="52"/>
      <c r="N8" s="54"/>
    </row>
    <row r="9" spans="1:14" ht="21" customHeight="1">
      <c r="A9" s="81">
        <v>5</v>
      </c>
      <c r="B9" s="105" t="s">
        <v>183</v>
      </c>
      <c r="C9" s="106"/>
      <c r="D9" s="106"/>
      <c r="E9" s="106"/>
      <c r="F9" s="106"/>
      <c r="G9" s="107"/>
      <c r="H9" s="97" t="s">
        <v>17</v>
      </c>
      <c r="I9" s="97" t="s">
        <v>18</v>
      </c>
      <c r="J9" s="99" t="s">
        <v>19</v>
      </c>
      <c r="K9" s="8"/>
      <c r="L9" s="151"/>
      <c r="M9" s="52"/>
      <c r="N9" s="54"/>
    </row>
    <row r="10" spans="1:14" ht="21" customHeight="1">
      <c r="A10" s="82"/>
      <c r="B10" s="111"/>
      <c r="C10" s="112"/>
      <c r="D10" s="112"/>
      <c r="E10" s="112"/>
      <c r="F10" s="112"/>
      <c r="G10" s="113"/>
      <c r="H10" s="98"/>
      <c r="I10" s="98"/>
      <c r="J10" s="100"/>
      <c r="K10" s="8"/>
      <c r="L10" s="151"/>
      <c r="M10" s="52"/>
      <c r="N10" s="54"/>
    </row>
    <row r="11" spans="1:14" ht="21" customHeight="1">
      <c r="A11" s="83"/>
      <c r="B11" s="108"/>
      <c r="C11" s="109"/>
      <c r="D11" s="109"/>
      <c r="E11" s="109"/>
      <c r="F11" s="109"/>
      <c r="G11" s="110"/>
      <c r="H11" s="7" t="str">
        <f>IF(J11="〇","",IF(H7&gt;2000,"〇",""))</f>
        <v/>
      </c>
      <c r="I11" s="7" t="str">
        <f>IF(J11="〇","",IF(H8&gt;1000,"〇",""))</f>
        <v/>
      </c>
      <c r="J11" s="7" t="str">
        <f>IF(H7="","",IF(H8="","",IF(H7*0.5+H8&gt;1000,"〇","")))</f>
        <v/>
      </c>
      <c r="K11" s="8"/>
      <c r="L11" s="151"/>
      <c r="M11" s="52"/>
      <c r="N11" s="54"/>
    </row>
    <row r="12" spans="1:14" ht="21" customHeight="1">
      <c r="A12" s="81">
        <v>6</v>
      </c>
      <c r="B12" s="105" t="s">
        <v>181</v>
      </c>
      <c r="C12" s="106"/>
      <c r="D12" s="106"/>
      <c r="E12" s="106"/>
      <c r="F12" s="106"/>
      <c r="G12" s="107"/>
      <c r="H12" s="7" t="s">
        <v>34</v>
      </c>
      <c r="I12" s="7" t="s">
        <v>18</v>
      </c>
      <c r="J12" s="15" t="s">
        <v>53</v>
      </c>
      <c r="K12" s="8"/>
      <c r="L12" s="151"/>
      <c r="M12" s="52"/>
      <c r="N12" s="54"/>
    </row>
    <row r="13" spans="1:14" ht="21" customHeight="1">
      <c r="A13" s="82"/>
      <c r="B13" s="111"/>
      <c r="C13" s="112"/>
      <c r="D13" s="112"/>
      <c r="E13" s="112"/>
      <c r="F13" s="112"/>
      <c r="G13" s="113"/>
      <c r="H13" s="77"/>
      <c r="I13" s="77"/>
      <c r="J13" s="77"/>
      <c r="K13" s="8"/>
      <c r="L13" s="152"/>
      <c r="M13" s="51"/>
      <c r="N13" s="55"/>
    </row>
    <row r="14" spans="1:14" ht="21" customHeight="1">
      <c r="A14" s="82"/>
      <c r="B14" s="111"/>
      <c r="C14" s="112"/>
      <c r="D14" s="112"/>
      <c r="E14" s="112"/>
      <c r="F14" s="112"/>
      <c r="G14" s="113"/>
      <c r="H14" s="77"/>
      <c r="I14" s="77"/>
      <c r="J14" s="77"/>
      <c r="K14" s="8"/>
      <c r="L14" s="102" t="s">
        <v>144</v>
      </c>
      <c r="M14" s="102"/>
      <c r="N14" s="102"/>
    </row>
    <row r="15" spans="1:14" ht="30.75" customHeight="1">
      <c r="A15" s="82"/>
      <c r="B15" s="111"/>
      <c r="C15" s="112"/>
      <c r="D15" s="112"/>
      <c r="E15" s="112"/>
      <c r="F15" s="112"/>
      <c r="G15" s="113"/>
      <c r="H15" s="40" t="s">
        <v>175</v>
      </c>
      <c r="I15" s="40" t="s">
        <v>176</v>
      </c>
      <c r="J15" s="164"/>
      <c r="K15" s="8"/>
      <c r="L15" s="132" t="s">
        <v>184</v>
      </c>
      <c r="M15" s="133"/>
      <c r="N15" s="134"/>
    </row>
    <row r="16" spans="1:14" ht="21" customHeight="1">
      <c r="A16" s="82"/>
      <c r="B16" s="111"/>
      <c r="C16" s="112"/>
      <c r="D16" s="112"/>
      <c r="E16" s="112"/>
      <c r="F16" s="112"/>
      <c r="G16" s="113"/>
      <c r="H16" s="114"/>
      <c r="I16" s="114"/>
      <c r="J16" s="165"/>
      <c r="K16" s="8"/>
      <c r="L16" s="167"/>
      <c r="M16" s="168"/>
      <c r="N16" s="169"/>
    </row>
    <row r="17" spans="1:14" ht="21" customHeight="1">
      <c r="A17" s="83"/>
      <c r="B17" s="108"/>
      <c r="C17" s="109"/>
      <c r="D17" s="109"/>
      <c r="E17" s="109"/>
      <c r="F17" s="109"/>
      <c r="G17" s="110"/>
      <c r="H17" s="115"/>
      <c r="I17" s="115"/>
      <c r="J17" s="166"/>
      <c r="K17" s="8"/>
      <c r="L17" s="167"/>
      <c r="M17" s="168"/>
      <c r="N17" s="169"/>
    </row>
    <row r="18" spans="1:14" ht="21" customHeight="1">
      <c r="A18" s="81">
        <v>7</v>
      </c>
      <c r="B18" s="138" t="s">
        <v>44</v>
      </c>
      <c r="C18" s="139"/>
      <c r="D18" s="139"/>
      <c r="E18" s="139"/>
      <c r="F18" s="139"/>
      <c r="G18" s="140"/>
      <c r="H18" s="90"/>
      <c r="I18" s="91"/>
      <c r="J18" s="92"/>
      <c r="K18" s="8"/>
      <c r="L18" s="167"/>
      <c r="M18" s="168"/>
      <c r="N18" s="169"/>
    </row>
    <row r="19" spans="1:14" ht="21" customHeight="1">
      <c r="A19" s="83"/>
      <c r="B19" s="141"/>
      <c r="C19" s="142"/>
      <c r="D19" s="142"/>
      <c r="E19" s="142"/>
      <c r="F19" s="142"/>
      <c r="G19" s="143"/>
      <c r="H19" s="90"/>
      <c r="I19" s="91"/>
      <c r="J19" s="92"/>
      <c r="K19" s="13">
        <f>IF(H20="する",ROUNDUP(H18*0.75,0),H18)</f>
        <v>0</v>
      </c>
      <c r="L19" s="135"/>
      <c r="M19" s="136"/>
      <c r="N19" s="137"/>
    </row>
    <row r="20" spans="1:14" ht="21" customHeight="1">
      <c r="A20" s="81">
        <v>8</v>
      </c>
      <c r="B20" s="138" t="s">
        <v>167</v>
      </c>
      <c r="C20" s="139"/>
      <c r="D20" s="139"/>
      <c r="E20" s="139"/>
      <c r="F20" s="139"/>
      <c r="G20" s="140"/>
      <c r="H20" s="144"/>
      <c r="I20" s="145"/>
      <c r="J20" s="146"/>
      <c r="L20" s="132" t="s">
        <v>71</v>
      </c>
      <c r="M20" s="133"/>
      <c r="N20" s="134"/>
    </row>
    <row r="21" spans="1:14" ht="26.25" customHeight="1">
      <c r="A21" s="83"/>
      <c r="B21" s="141"/>
      <c r="C21" s="142"/>
      <c r="D21" s="142"/>
      <c r="E21" s="142"/>
      <c r="F21" s="142"/>
      <c r="G21" s="143"/>
      <c r="H21" s="147"/>
      <c r="I21" s="148"/>
      <c r="J21" s="149"/>
      <c r="L21" s="135"/>
      <c r="M21" s="136"/>
      <c r="N21" s="137"/>
    </row>
    <row r="22" spans="1:14" ht="21" customHeight="1">
      <c r="A22" s="41">
        <v>9</v>
      </c>
      <c r="B22" s="87" t="s">
        <v>72</v>
      </c>
      <c r="C22" s="88"/>
      <c r="D22" s="88"/>
      <c r="E22" s="88"/>
      <c r="F22" s="88"/>
      <c r="G22" s="89"/>
      <c r="H22" s="90"/>
      <c r="I22" s="91"/>
      <c r="J22" s="92"/>
      <c r="K22" s="8"/>
      <c r="L22" s="116" t="s">
        <v>182</v>
      </c>
      <c r="M22" s="117"/>
      <c r="N22" s="118"/>
    </row>
    <row r="23" spans="1:14" ht="21" customHeight="1">
      <c r="A23" s="41">
        <v>10</v>
      </c>
      <c r="B23" s="87" t="s">
        <v>186</v>
      </c>
      <c r="C23" s="88"/>
      <c r="D23" s="88"/>
      <c r="E23" s="88"/>
      <c r="F23" s="88"/>
      <c r="G23" s="89"/>
      <c r="H23" s="90"/>
      <c r="I23" s="91"/>
      <c r="J23" s="92"/>
      <c r="K23" s="14">
        <f>IF(J11="〇",IF(H20="する",ROUNDUP(ROUNDUP(H18*0.75,0)/6,0),ROUNDUP(H18/6,0)),0)</f>
        <v>0</v>
      </c>
      <c r="L23" s="59"/>
      <c r="M23" s="59"/>
      <c r="N23" s="59"/>
    </row>
    <row r="24" spans="1:14" ht="21" customHeight="1">
      <c r="A24" s="41">
        <v>11</v>
      </c>
      <c r="B24" s="87" t="s">
        <v>158</v>
      </c>
      <c r="C24" s="88"/>
      <c r="D24" s="88"/>
      <c r="E24" s="88"/>
      <c r="F24" s="88"/>
      <c r="G24" s="89"/>
      <c r="H24" s="90"/>
      <c r="I24" s="91"/>
      <c r="J24" s="92"/>
      <c r="K24" s="12">
        <f>IF(J11="〇",ROUNDUP(H8/200,0),0)</f>
        <v>0</v>
      </c>
      <c r="L24" s="58" t="s">
        <v>187</v>
      </c>
      <c r="M24" s="59"/>
      <c r="N24" s="60"/>
    </row>
    <row r="25" spans="1:14" ht="21" customHeight="1">
      <c r="A25" s="81">
        <v>12</v>
      </c>
      <c r="B25" s="105" t="s">
        <v>75</v>
      </c>
      <c r="C25" s="106"/>
      <c r="D25" s="106"/>
      <c r="E25" s="106"/>
      <c r="F25" s="106"/>
      <c r="G25" s="107"/>
      <c r="H25" s="10" t="s">
        <v>17</v>
      </c>
      <c r="I25" s="10" t="s">
        <v>18</v>
      </c>
      <c r="J25" s="10" t="s">
        <v>30</v>
      </c>
      <c r="K25" s="8"/>
      <c r="L25" s="58" t="s">
        <v>191</v>
      </c>
      <c r="M25" s="59"/>
      <c r="N25" s="60"/>
    </row>
    <row r="26" spans="1:14" ht="21" customHeight="1">
      <c r="A26" s="82"/>
      <c r="B26" s="111"/>
      <c r="C26" s="112"/>
      <c r="D26" s="112"/>
      <c r="E26" s="112"/>
      <c r="F26" s="112"/>
      <c r="G26" s="113"/>
      <c r="H26" s="99">
        <f>IF(H11="〇",IF(H20="する",ROUNDUP(H18*0.75/6,0),ROUNDUP(H18/6,0)),K23)</f>
        <v>0</v>
      </c>
      <c r="I26" s="99">
        <f>IF(H22=入力フォームリスト!C2,"大店立地",IF(I11="〇",ROUNDUP(H8/200,0),K24))</f>
        <v>0</v>
      </c>
      <c r="J26" s="99">
        <f>IF(H22=入力フォームリスト!C2,H26,H26+I26)</f>
        <v>0</v>
      </c>
      <c r="K26" s="8"/>
      <c r="L26" s="58"/>
      <c r="M26" s="59"/>
      <c r="N26" s="60"/>
    </row>
    <row r="27" spans="1:14" ht="21" customHeight="1">
      <c r="A27" s="83"/>
      <c r="B27" s="108"/>
      <c r="C27" s="109"/>
      <c r="D27" s="109"/>
      <c r="E27" s="109"/>
      <c r="F27" s="109"/>
      <c r="G27" s="110"/>
      <c r="H27" s="100"/>
      <c r="I27" s="100"/>
      <c r="J27" s="100"/>
      <c r="K27" s="8"/>
      <c r="L27" s="58"/>
      <c r="M27" s="59"/>
      <c r="N27" s="60"/>
    </row>
    <row r="28" spans="1:14" ht="21" customHeight="1">
      <c r="A28" s="81">
        <v>13</v>
      </c>
      <c r="B28" s="105" t="s">
        <v>185</v>
      </c>
      <c r="C28" s="106"/>
      <c r="D28" s="106"/>
      <c r="E28" s="106"/>
      <c r="F28" s="106"/>
      <c r="G28" s="107"/>
      <c r="H28" s="9" t="s">
        <v>34</v>
      </c>
      <c r="I28" s="9" t="s">
        <v>18</v>
      </c>
      <c r="J28" s="119"/>
      <c r="L28" s="58" t="s">
        <v>192</v>
      </c>
      <c r="M28" s="59"/>
      <c r="N28" s="60"/>
    </row>
    <row r="29" spans="1:14" ht="21" customHeight="1">
      <c r="A29" s="82"/>
      <c r="B29" s="108"/>
      <c r="C29" s="109"/>
      <c r="D29" s="109"/>
      <c r="E29" s="109"/>
      <c r="F29" s="109"/>
      <c r="G29" s="110"/>
      <c r="H29" s="9" t="str">
        <f>IF(H18&gt;=50,"要","不要")</f>
        <v>不要</v>
      </c>
      <c r="I29" s="9" t="str">
        <f>IF(H8&gt;2000,"要","不要")</f>
        <v>不要</v>
      </c>
      <c r="J29" s="120"/>
      <c r="L29" s="58"/>
      <c r="M29" s="59"/>
      <c r="N29" s="60"/>
    </row>
    <row r="30" spans="1:14" ht="21" customHeight="1">
      <c r="A30" s="81">
        <v>14</v>
      </c>
      <c r="B30" s="156" t="s">
        <v>76</v>
      </c>
      <c r="C30" s="157"/>
      <c r="D30" s="157"/>
      <c r="E30" s="157"/>
      <c r="F30" s="157"/>
      <c r="G30" s="158"/>
      <c r="H30" s="95"/>
      <c r="I30" s="95"/>
      <c r="J30" s="95"/>
      <c r="L30" s="58" t="s">
        <v>168</v>
      </c>
      <c r="M30" s="102"/>
      <c r="N30" s="103"/>
    </row>
    <row r="31" spans="1:14" ht="21" customHeight="1">
      <c r="A31" s="83"/>
      <c r="B31" s="159"/>
      <c r="C31" s="160"/>
      <c r="D31" s="160"/>
      <c r="E31" s="160"/>
      <c r="F31" s="160"/>
      <c r="G31" s="161"/>
      <c r="H31" s="96"/>
      <c r="I31" s="96"/>
      <c r="J31" s="96"/>
      <c r="L31" s="104"/>
      <c r="M31" s="102"/>
      <c r="N31" s="103"/>
    </row>
    <row r="32" spans="1:14" ht="21" customHeight="1">
      <c r="A32" s="76">
        <v>15</v>
      </c>
      <c r="B32" s="67" t="s">
        <v>32</v>
      </c>
      <c r="C32" s="68"/>
      <c r="D32" s="68"/>
      <c r="E32" s="68"/>
      <c r="F32" s="68"/>
      <c r="G32" s="69"/>
      <c r="H32" s="9" t="s">
        <v>17</v>
      </c>
      <c r="I32" s="9" t="s">
        <v>18</v>
      </c>
      <c r="J32" s="9" t="s">
        <v>30</v>
      </c>
    </row>
    <row r="33" spans="1:14" ht="21" customHeight="1">
      <c r="A33" s="76"/>
      <c r="B33" s="70"/>
      <c r="C33" s="71"/>
      <c r="D33" s="71"/>
      <c r="E33" s="71"/>
      <c r="F33" s="71"/>
      <c r="G33" s="72"/>
      <c r="H33" s="94">
        <f>IF(H29="要",H26,H26)</f>
        <v>0</v>
      </c>
      <c r="I33" s="93">
        <f>IF(I29="要",IF(H30=入力フォームリスト!F3,I13,I26),IF(H30=入力フォームリスト!F3,I13,I26))</f>
        <v>0</v>
      </c>
      <c r="J33" s="93">
        <f>IF(I33="大店立地","(ア)の台数と大店立地台数",H33+I33)</f>
        <v>0</v>
      </c>
      <c r="L33" s="1">
        <f>IFERROR(I33,"大店立地により表示できません。そのまま入力を続けてください")</f>
        <v>0</v>
      </c>
    </row>
    <row r="34" spans="1:14" ht="21" customHeight="1">
      <c r="A34" s="76"/>
      <c r="B34" s="73"/>
      <c r="C34" s="74"/>
      <c r="D34" s="74"/>
      <c r="E34" s="74"/>
      <c r="F34" s="74"/>
      <c r="G34" s="75"/>
      <c r="H34" s="94"/>
      <c r="I34" s="93"/>
      <c r="J34" s="93"/>
      <c r="L34" s="1">
        <f>IFERROR(J33,"大店立地により表示できません。そのまま入力を続けてください")</f>
        <v>0</v>
      </c>
    </row>
    <row r="35" spans="1:14" ht="13.5" customHeight="1">
      <c r="I35" s="18" t="str">
        <f>IF(H30=入力フォームリスト!F3,IF(①入力フォーム!I33=0,"11が未入力です",""),"")</f>
        <v/>
      </c>
    </row>
    <row r="36" spans="1:14" ht="21" customHeight="1">
      <c r="A36" s="61" t="s">
        <v>58</v>
      </c>
      <c r="B36" s="62"/>
      <c r="C36" s="62"/>
      <c r="D36" s="62"/>
      <c r="E36" s="62"/>
      <c r="F36" s="62"/>
      <c r="G36" s="63"/>
      <c r="H36" s="76" t="s">
        <v>2</v>
      </c>
      <c r="I36" s="76"/>
      <c r="J36" s="76"/>
      <c r="L36" s="58" t="s">
        <v>51</v>
      </c>
      <c r="M36" s="102"/>
      <c r="N36" s="103"/>
    </row>
    <row r="37" spans="1:14" ht="21" customHeight="1">
      <c r="A37" s="41">
        <v>16</v>
      </c>
      <c r="B37" s="64" t="s">
        <v>196</v>
      </c>
      <c r="C37" s="65"/>
      <c r="D37" s="65"/>
      <c r="E37" s="65"/>
      <c r="F37" s="65"/>
      <c r="G37" s="66"/>
      <c r="H37" s="77"/>
      <c r="I37" s="77"/>
      <c r="J37" s="77"/>
      <c r="L37" s="80" t="s">
        <v>39</v>
      </c>
      <c r="M37" s="94" t="s">
        <v>17</v>
      </c>
      <c r="N37" s="101" t="s">
        <v>35</v>
      </c>
    </row>
    <row r="38" spans="1:14" ht="21" customHeight="1">
      <c r="A38" s="41">
        <v>17</v>
      </c>
      <c r="B38" s="64" t="s">
        <v>49</v>
      </c>
      <c r="C38" s="65"/>
      <c r="D38" s="65"/>
      <c r="E38" s="65"/>
      <c r="F38" s="65"/>
      <c r="G38" s="66"/>
      <c r="H38" s="78"/>
      <c r="I38" s="78"/>
      <c r="J38" s="78"/>
      <c r="L38" s="80"/>
      <c r="M38" s="94"/>
      <c r="N38" s="101"/>
    </row>
    <row r="39" spans="1:14" ht="21" customHeight="1">
      <c r="A39" s="41">
        <v>18</v>
      </c>
      <c r="B39" s="64" t="s">
        <v>44</v>
      </c>
      <c r="C39" s="65"/>
      <c r="D39" s="65"/>
      <c r="E39" s="65"/>
      <c r="F39" s="65"/>
      <c r="G39" s="66"/>
      <c r="H39" s="77"/>
      <c r="I39" s="77"/>
      <c r="J39" s="77"/>
      <c r="L39" s="80"/>
      <c r="M39" s="94" t="s">
        <v>18</v>
      </c>
      <c r="N39" s="101" t="s">
        <v>36</v>
      </c>
    </row>
    <row r="40" spans="1:14" ht="21" customHeight="1">
      <c r="A40" s="41">
        <v>19</v>
      </c>
      <c r="B40" s="64" t="s">
        <v>45</v>
      </c>
      <c r="C40" s="65"/>
      <c r="D40" s="65"/>
      <c r="E40" s="65"/>
      <c r="F40" s="65"/>
      <c r="G40" s="66"/>
      <c r="H40" s="77"/>
      <c r="I40" s="77"/>
      <c r="J40" s="77"/>
      <c r="L40" s="80"/>
      <c r="M40" s="94"/>
      <c r="N40" s="101"/>
    </row>
    <row r="41" spans="1:14" ht="21" customHeight="1">
      <c r="A41" s="41">
        <v>20</v>
      </c>
      <c r="B41" s="64" t="s">
        <v>52</v>
      </c>
      <c r="C41" s="65"/>
      <c r="D41" s="65"/>
      <c r="E41" s="65"/>
      <c r="F41" s="65"/>
      <c r="G41" s="66"/>
      <c r="H41" s="77"/>
      <c r="I41" s="77"/>
      <c r="J41" s="77"/>
      <c r="L41" s="80"/>
      <c r="M41" s="94" t="s">
        <v>38</v>
      </c>
      <c r="N41" s="101" t="s">
        <v>37</v>
      </c>
    </row>
    <row r="42" spans="1:14" ht="21" customHeight="1">
      <c r="A42" s="41">
        <v>21</v>
      </c>
      <c r="B42" s="64" t="s">
        <v>57</v>
      </c>
      <c r="C42" s="65"/>
      <c r="D42" s="65"/>
      <c r="E42" s="65"/>
      <c r="F42" s="65"/>
      <c r="G42" s="66"/>
      <c r="H42" s="77"/>
      <c r="I42" s="77"/>
      <c r="J42" s="77"/>
      <c r="L42" s="80"/>
      <c r="M42" s="94"/>
      <c r="N42" s="101"/>
    </row>
    <row r="43" spans="1:14" ht="21" customHeight="1">
      <c r="A43" s="41">
        <v>22</v>
      </c>
      <c r="B43" s="64" t="s">
        <v>169</v>
      </c>
      <c r="C43" s="65"/>
      <c r="D43" s="65"/>
      <c r="E43" s="65"/>
      <c r="F43" s="65"/>
      <c r="G43" s="66"/>
      <c r="H43" s="125" t="str">
        <f>IF(H41="","",H41-H42)</f>
        <v/>
      </c>
      <c r="I43" s="126"/>
      <c r="J43" s="127"/>
      <c r="L43" s="104" t="s">
        <v>50</v>
      </c>
      <c r="M43" s="102"/>
      <c r="N43" s="103"/>
    </row>
    <row r="44" spans="1:14" ht="21" customHeight="1">
      <c r="A44" s="76">
        <v>23</v>
      </c>
      <c r="B44" s="67" t="s">
        <v>33</v>
      </c>
      <c r="C44" s="68"/>
      <c r="D44" s="68"/>
      <c r="E44" s="68"/>
      <c r="F44" s="68"/>
      <c r="G44" s="69"/>
      <c r="H44" s="11" t="s">
        <v>56</v>
      </c>
      <c r="I44" s="11" t="s">
        <v>54</v>
      </c>
      <c r="J44" s="16" t="s">
        <v>55</v>
      </c>
      <c r="L44" s="97" t="s">
        <v>70</v>
      </c>
      <c r="M44" s="128" t="s">
        <v>46</v>
      </c>
      <c r="N44" s="128"/>
    </row>
    <row r="45" spans="1:14" ht="21" customHeight="1">
      <c r="A45" s="76"/>
      <c r="B45" s="70"/>
      <c r="C45" s="71"/>
      <c r="D45" s="71"/>
      <c r="E45" s="71"/>
      <c r="F45" s="71"/>
      <c r="G45" s="72"/>
      <c r="H45" s="77"/>
      <c r="I45" s="77"/>
      <c r="J45" s="77"/>
      <c r="L45" s="131"/>
      <c r="M45" s="129"/>
      <c r="N45" s="129"/>
    </row>
    <row r="46" spans="1:14" ht="21" customHeight="1">
      <c r="A46" s="76"/>
      <c r="B46" s="73"/>
      <c r="C46" s="74"/>
      <c r="D46" s="74"/>
      <c r="E46" s="74"/>
      <c r="F46" s="74"/>
      <c r="G46" s="75"/>
      <c r="H46" s="77"/>
      <c r="I46" s="77"/>
      <c r="J46" s="77"/>
      <c r="L46" s="98"/>
      <c r="M46" s="130"/>
      <c r="N46" s="130"/>
    </row>
    <row r="47" spans="1:14" ht="21" customHeight="1">
      <c r="A47" s="81">
        <v>24</v>
      </c>
      <c r="B47" s="67" t="s">
        <v>22</v>
      </c>
      <c r="C47" s="68"/>
      <c r="D47" s="68"/>
      <c r="E47" s="68"/>
      <c r="F47" s="68"/>
      <c r="G47" s="69"/>
      <c r="H47" s="11" t="s">
        <v>56</v>
      </c>
      <c r="I47" s="11" t="s">
        <v>54</v>
      </c>
      <c r="J47" s="16" t="s">
        <v>55</v>
      </c>
      <c r="L47" s="79" t="s">
        <v>66</v>
      </c>
      <c r="M47" s="11" t="s">
        <v>67</v>
      </c>
      <c r="N47" s="17" t="s">
        <v>68</v>
      </c>
    </row>
    <row r="48" spans="1:14" ht="21" customHeight="1">
      <c r="A48" s="82"/>
      <c r="B48" s="70"/>
      <c r="C48" s="71"/>
      <c r="D48" s="71"/>
      <c r="E48" s="71"/>
      <c r="F48" s="71"/>
      <c r="G48" s="72"/>
      <c r="H48" s="94">
        <f>H39+ROUNDUP(H40*1.5,0)+計算!E7</f>
        <v>0</v>
      </c>
      <c r="I48" s="94">
        <f>計算!C27</f>
        <v>0</v>
      </c>
      <c r="J48" s="80">
        <f>計算!D27</f>
        <v>0</v>
      </c>
      <c r="L48" s="79"/>
      <c r="M48" s="11" t="s">
        <v>38</v>
      </c>
      <c r="N48" s="17" t="s">
        <v>69</v>
      </c>
    </row>
    <row r="49" spans="1:14" ht="21" customHeight="1">
      <c r="A49" s="83"/>
      <c r="B49" s="73"/>
      <c r="C49" s="74"/>
      <c r="D49" s="74"/>
      <c r="E49" s="74"/>
      <c r="F49" s="74"/>
      <c r="G49" s="75"/>
      <c r="H49" s="94"/>
      <c r="I49" s="94"/>
      <c r="J49" s="80"/>
      <c r="L49" s="162"/>
      <c r="M49" s="163"/>
      <c r="N49" s="163"/>
    </row>
    <row r="50" spans="1:14" ht="21" customHeight="1">
      <c r="A50" s="41">
        <v>25</v>
      </c>
      <c r="B50" s="56" t="s">
        <v>173</v>
      </c>
      <c r="C50" s="56"/>
      <c r="D50" s="56"/>
      <c r="E50" s="56"/>
      <c r="F50" s="56"/>
      <c r="G50" s="56"/>
      <c r="H50" s="57"/>
      <c r="I50" s="57"/>
      <c r="J50" s="57"/>
      <c r="L50" s="58" t="s">
        <v>159</v>
      </c>
      <c r="M50" s="59"/>
      <c r="N50" s="60"/>
    </row>
    <row r="51" spans="1:14" ht="21" customHeight="1">
      <c r="A51" s="1" t="str">
        <f>IF(H48&gt;H45,"必要台数に対して計画台数が不足しています","")</f>
        <v/>
      </c>
      <c r="H51" s="18" t="str">
        <f>IF(I48=0,"",IF(I45=0,"計画台数のうち原付の数が未入力です",""))</f>
        <v/>
      </c>
    </row>
    <row r="52" spans="1:14" ht="21" customHeight="1">
      <c r="H52" s="18" t="str">
        <f>IF(J48=0,"",IF(J45=0,"計画台数のうち自動二輪の数が未入力です",""))</f>
        <v/>
      </c>
    </row>
  </sheetData>
  <sheetProtection algorithmName="SHA-512" hashValue="hLRu+Nqco1fcVt69/nSTfQ+4GfsBwhiZm8bBYQGNY/Um2ro2UK9sIhVk1nhtpB8zdpTAGS1xoUM0x352YsE02g==" saltValue="E8KCLtkqXnLiHb89R07m0A==" spinCount="100000" sheet="1" objects="1" scenarios="1"/>
  <mergeCells count="110">
    <mergeCell ref="A47:A49"/>
    <mergeCell ref="J48:J49"/>
    <mergeCell ref="I48:I49"/>
    <mergeCell ref="H48:H49"/>
    <mergeCell ref="L20:N21"/>
    <mergeCell ref="A4:G4"/>
    <mergeCell ref="B8:G8"/>
    <mergeCell ref="B7:G7"/>
    <mergeCell ref="B6:G6"/>
    <mergeCell ref="B20:G21"/>
    <mergeCell ref="B18:G19"/>
    <mergeCell ref="B9:G11"/>
    <mergeCell ref="H20:J21"/>
    <mergeCell ref="L3:L13"/>
    <mergeCell ref="H5:J5"/>
    <mergeCell ref="L14:N14"/>
    <mergeCell ref="B30:G31"/>
    <mergeCell ref="L49:N49"/>
    <mergeCell ref="A12:A17"/>
    <mergeCell ref="B12:G17"/>
    <mergeCell ref="J15:J17"/>
    <mergeCell ref="H18:J19"/>
    <mergeCell ref="A25:A27"/>
    <mergeCell ref="L15:N19"/>
    <mergeCell ref="H16:H17"/>
    <mergeCell ref="I16:I17"/>
    <mergeCell ref="L22:N22"/>
    <mergeCell ref="J28:J29"/>
    <mergeCell ref="L23:N23"/>
    <mergeCell ref="L24:N24"/>
    <mergeCell ref="A1:J2"/>
    <mergeCell ref="A3:J3"/>
    <mergeCell ref="A44:A46"/>
    <mergeCell ref="B32:G34"/>
    <mergeCell ref="B22:G22"/>
    <mergeCell ref="L43:N43"/>
    <mergeCell ref="J45:J46"/>
    <mergeCell ref="I45:I46"/>
    <mergeCell ref="H45:H46"/>
    <mergeCell ref="H43:J43"/>
    <mergeCell ref="M44:N46"/>
    <mergeCell ref="N37:N38"/>
    <mergeCell ref="M37:M38"/>
    <mergeCell ref="N39:N40"/>
    <mergeCell ref="H40:J40"/>
    <mergeCell ref="H41:J41"/>
    <mergeCell ref="H42:J42"/>
    <mergeCell ref="L44:L46"/>
    <mergeCell ref="M39:M40"/>
    <mergeCell ref="N41:N42"/>
    <mergeCell ref="M41:M42"/>
    <mergeCell ref="B23:G23"/>
    <mergeCell ref="H23:J23"/>
    <mergeCell ref="H24:J24"/>
    <mergeCell ref="L25:N27"/>
    <mergeCell ref="L30:N31"/>
    <mergeCell ref="I26:I27"/>
    <mergeCell ref="J26:J27"/>
    <mergeCell ref="B28:G29"/>
    <mergeCell ref="B25:G27"/>
    <mergeCell ref="L28:N29"/>
    <mergeCell ref="L36:N36"/>
    <mergeCell ref="H4:J4"/>
    <mergeCell ref="A9:A11"/>
    <mergeCell ref="H6:J6"/>
    <mergeCell ref="H7:J7"/>
    <mergeCell ref="H8:J8"/>
    <mergeCell ref="A20:A21"/>
    <mergeCell ref="B24:G24"/>
    <mergeCell ref="H22:J22"/>
    <mergeCell ref="A32:A34"/>
    <mergeCell ref="J33:J34"/>
    <mergeCell ref="I33:I34"/>
    <mergeCell ref="H33:H34"/>
    <mergeCell ref="A28:A29"/>
    <mergeCell ref="H30:J31"/>
    <mergeCell ref="A30:A31"/>
    <mergeCell ref="A18:A19"/>
    <mergeCell ref="H9:H10"/>
    <mergeCell ref="I9:I10"/>
    <mergeCell ref="J9:J10"/>
    <mergeCell ref="J13:J14"/>
    <mergeCell ref="I13:I14"/>
    <mergeCell ref="H13:H14"/>
    <mergeCell ref="B5:G5"/>
    <mergeCell ref="H26:H27"/>
    <mergeCell ref="M2:N2"/>
    <mergeCell ref="N3:N4"/>
    <mergeCell ref="M3:M4"/>
    <mergeCell ref="M5:M13"/>
    <mergeCell ref="N5:N13"/>
    <mergeCell ref="B50:G50"/>
    <mergeCell ref="H50:J50"/>
    <mergeCell ref="L50:N50"/>
    <mergeCell ref="A36:G36"/>
    <mergeCell ref="B37:G37"/>
    <mergeCell ref="B38:G38"/>
    <mergeCell ref="B43:G43"/>
    <mergeCell ref="B42:G42"/>
    <mergeCell ref="B41:G41"/>
    <mergeCell ref="B40:G40"/>
    <mergeCell ref="B39:G39"/>
    <mergeCell ref="B44:G46"/>
    <mergeCell ref="B47:G49"/>
    <mergeCell ref="H36:J36"/>
    <mergeCell ref="H37:J37"/>
    <mergeCell ref="H38:J38"/>
    <mergeCell ref="L47:L48"/>
    <mergeCell ref="L37:L42"/>
    <mergeCell ref="H39:J39"/>
  </mergeCells>
  <phoneticPr fontId="2"/>
  <conditionalFormatting sqref="H20">
    <cfRule type="expression" dxfId="69" priority="66">
      <formula>$I$11="〇"</formula>
    </cfRule>
  </conditionalFormatting>
  <conditionalFormatting sqref="H18:J19">
    <cfRule type="expression" dxfId="68" priority="1">
      <formula>$H$6=$M$3</formula>
    </cfRule>
    <cfRule type="expression" dxfId="67" priority="17">
      <formula>$H$6=""</formula>
    </cfRule>
    <cfRule type="expression" dxfId="66" priority="65">
      <formula>$I$11="〇"</formula>
    </cfRule>
  </conditionalFormatting>
  <conditionalFormatting sqref="H11:J11">
    <cfRule type="expression" dxfId="65" priority="63">
      <formula>H11=""</formula>
    </cfRule>
  </conditionalFormatting>
  <conditionalFormatting sqref="H30:J31">
    <cfRule type="expression" dxfId="64" priority="9">
      <formula>$J$11="〇"</formula>
    </cfRule>
    <cfRule type="expression" dxfId="63" priority="10">
      <formula>$I$11="〇"</formula>
    </cfRule>
    <cfRule type="expression" dxfId="62" priority="27">
      <formula>$H$6=""</formula>
    </cfRule>
    <cfRule type="expression" dxfId="61" priority="62">
      <formula>$H$11="〇"</formula>
    </cfRule>
  </conditionalFormatting>
  <conditionalFormatting sqref="H13 H16">
    <cfRule type="expression" dxfId="60" priority="32">
      <formula>$H$6=""</formula>
    </cfRule>
  </conditionalFormatting>
  <conditionalFormatting sqref="H7:J8">
    <cfRule type="expression" dxfId="59" priority="31">
      <formula>$H$6=""</formula>
    </cfRule>
  </conditionalFormatting>
  <conditionalFormatting sqref="H20:J22">
    <cfRule type="expression" dxfId="58" priority="29">
      <formula>$H$6=""</formula>
    </cfRule>
  </conditionalFormatting>
  <conditionalFormatting sqref="H23:J24">
    <cfRule type="expression" dxfId="57" priority="6">
      <formula>$J$11="〇"</formula>
    </cfRule>
    <cfRule type="expression" dxfId="56" priority="7">
      <formula>$I$11="〇"</formula>
    </cfRule>
    <cfRule type="expression" dxfId="55" priority="8">
      <formula>$H$11="〇"</formula>
    </cfRule>
    <cfRule type="expression" dxfId="54" priority="23">
      <formula>$H$5=""</formula>
    </cfRule>
  </conditionalFormatting>
  <conditionalFormatting sqref="H38:J43 H48:J49">
    <cfRule type="expression" dxfId="53" priority="21">
      <formula>$H$37=""</formula>
    </cfRule>
  </conditionalFormatting>
  <conditionalFormatting sqref="H45:J46">
    <cfRule type="expression" dxfId="52" priority="20">
      <formula>$H$37=""</formula>
    </cfRule>
  </conditionalFormatting>
  <conditionalFormatting sqref="H50:J50">
    <cfRule type="expression" dxfId="51" priority="19">
      <formula>$H$37=""</formula>
    </cfRule>
  </conditionalFormatting>
  <conditionalFormatting sqref="I16:I17 I13:J14">
    <cfRule type="expression" dxfId="50" priority="16">
      <formula>$H$6=""</formula>
    </cfRule>
  </conditionalFormatting>
  <conditionalFormatting sqref="I13:I14 I16:I17 H22:J22 H30:J31">
    <cfRule type="expression" dxfId="49" priority="13">
      <formula>$J$11=""</formula>
    </cfRule>
    <cfRule type="expression" dxfId="48" priority="14">
      <formula>$I$11=""</formula>
    </cfRule>
  </conditionalFormatting>
  <conditionalFormatting sqref="I13:I14 I16:I17 H22:J22">
    <cfRule type="expression" dxfId="47" priority="11">
      <formula>$J$11="〇"</formula>
    </cfRule>
    <cfRule type="expression" dxfId="46" priority="12">
      <formula>$I$11="〇"</formula>
    </cfRule>
  </conditionalFormatting>
  <conditionalFormatting sqref="H18:J21">
    <cfRule type="expression" dxfId="45" priority="2">
      <formula>$J$11="〇"</formula>
    </cfRule>
    <cfRule type="expression" dxfId="44" priority="3">
      <formula>$H$11="〇"</formula>
    </cfRule>
    <cfRule type="expression" dxfId="43" priority="4">
      <formula>$J$11=""</formula>
    </cfRule>
    <cfRule type="expression" dxfId="42" priority="5">
      <formula>$H$11=""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B2818300-60F9-41E4-A4EE-C1E4066DCB8B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36" id="{21AD863D-1A61-4A29-96F7-7BE3CC906024}">
            <xm:f>$H$6=入力フォームリスト!$A$3</xm:f>
            <x14:dxf>
              <fill>
                <patternFill>
                  <bgColor theme="0" tint="-0.499984740745262"/>
                </patternFill>
              </fill>
            </x14:dxf>
          </x14:cfRule>
          <xm:sqref>H13 H16</xm:sqref>
        </x14:conditionalFormatting>
        <x14:conditionalFormatting xmlns:xm="http://schemas.microsoft.com/office/excel/2006/main">
          <x14:cfRule type="expression" priority="25" id="{EAC7AD45-62EC-4139-B5C2-8F2F8E439953}">
            <xm:f>$H$6=入力フォームリスト!$A$2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26" id="{44994A74-98BC-4098-90B5-AA23F0FCE787}">
            <xm:f>$H$6=入力フォームリスト!$B$15</xm:f>
            <x14:dxf>
              <fill>
                <patternFill>
                  <bgColor theme="0" tint="-0.499984740745262"/>
                </patternFill>
              </fill>
            </x14:dxf>
          </x14:cfRule>
          <xm:sqref>H30:J31</xm:sqref>
        </x14:conditionalFormatting>
        <x14:conditionalFormatting xmlns:xm="http://schemas.microsoft.com/office/excel/2006/main">
          <x14:cfRule type="expression" priority="34" id="{CB8DBC87-B377-408E-A57A-DFE87CC6330F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m:sqref>H18:J19</xm:sqref>
        </x14:conditionalFormatting>
        <x14:conditionalFormatting xmlns:xm="http://schemas.microsoft.com/office/excel/2006/main">
          <x14:cfRule type="expression" priority="70" id="{81F998BC-4FC4-4307-AB6B-83DE9A43E07C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71" id="{A19F89E6-77EF-4515-9293-BBDE11E7DC5A}">
            <xm:f>$H$6=入力フォームリスト!$A$3</xm:f>
            <x14:dxf>
              <fill>
                <patternFill>
                  <bgColor theme="0" tint="-0.499984740745262"/>
                </patternFill>
              </fill>
            </x14:dxf>
          </x14:cfRule>
          <xm:sqref>H7:J7</xm:sqref>
        </x14:conditionalFormatting>
        <x14:conditionalFormatting xmlns:xm="http://schemas.microsoft.com/office/excel/2006/main">
          <x14:cfRule type="expression" priority="67" id="{A16B49B0-068E-472A-8E4D-E03C5DEF5DF1}">
            <xm:f>$H$6=入力フォームリスト!$A$2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68" id="{C09E4E7A-FAD4-4643-8B32-51493FC77E93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69" id="{599D4C19-C3E7-422A-BC4C-FD5B1E3F188F}">
            <xm:f>$H$8=入力フォームリスト!$A$2</xm:f>
            <x14:dxf>
              <fill>
                <patternFill>
                  <bgColor theme="0" tint="-0.499984740745262"/>
                </patternFill>
              </fill>
            </x14:dxf>
          </x14:cfRule>
          <xm:sqref>H8:J8</xm:sqref>
        </x14:conditionalFormatting>
        <x14:conditionalFormatting xmlns:xm="http://schemas.microsoft.com/office/excel/2006/main">
          <x14:cfRule type="expression" priority="46" id="{0437DB88-768E-45CC-8861-D9AE93FFD249}">
            <xm:f>$H$37=入力フォームリスト!$G$4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9" id="{DB49F169-22C7-4093-ACE5-D5DCCDCF8AFE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60" id="{62115CAC-B227-46BB-B69C-391B3E4AA2BD}">
            <xm:f>$H$37=入力フォームリスト!$G$7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61" id="{CC456164-4368-493B-B266-83522F146717}">
            <xm:f>$H$37=入力フォームリスト!$G$3</xm:f>
            <x14:dxf>
              <fill>
                <patternFill>
                  <bgColor theme="0" tint="-0.499984740745262"/>
                </patternFill>
              </fill>
            </x14:dxf>
          </x14:cfRule>
          <xm:sqref>H39:J39</xm:sqref>
        </x14:conditionalFormatting>
        <x14:conditionalFormatting xmlns:xm="http://schemas.microsoft.com/office/excel/2006/main">
          <x14:cfRule type="expression" priority="45" id="{CD5005C9-840A-47DB-A32D-527DF3D362DA}">
            <xm:f>$H$37=入力フォームリスト!$G$4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2" id="{DCF14B0B-89EF-4C6B-822B-39F65303BCE5}">
            <xm:f>$H$37=入力フォームリスト!$G$6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3" id="{0D787B43-DAAC-4627-B853-E6C78264C03E}">
            <xm:f>$H$37=入力フォームリスト!$G$2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4" id="{6CE3A5C9-3703-4C9E-9D8C-59512143A882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m:sqref>H40:J40</xm:sqref>
        </x14:conditionalFormatting>
        <x14:conditionalFormatting xmlns:xm="http://schemas.microsoft.com/office/excel/2006/main">
          <x14:cfRule type="expression" priority="47" id="{D962B8D2-37E5-4D7E-AFAE-ECCB9AFE4BF4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48" id="{F77FE1DA-A638-4204-A9AD-2574D465C0E4}">
            <xm:f>$H$37=入力フォームリスト!$G$5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49" id="{0D39CE7B-C414-4EF5-8730-E9F207605F4B}">
            <xm:f>$H$37=入力フォームリスト!$G$3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0" id="{99A94BCE-5259-414F-B6E9-45BDC782237D}">
            <xm:f>$H$37=入力フォームリスト!$G$2</xm:f>
            <x14:dxf>
              <fill>
                <patternFill>
                  <bgColor theme="0" tint="-0.499984740745262"/>
                </patternFill>
              </fill>
            </x14:dxf>
          </x14:cfRule>
          <xm:sqref>H41:J41 H43</xm:sqref>
        </x14:conditionalFormatting>
        <x14:conditionalFormatting xmlns:xm="http://schemas.microsoft.com/office/excel/2006/main">
          <x14:cfRule type="expression" priority="41" id="{C201553E-C38B-498F-A270-A6FA1C6FC743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42" id="{763FFF01-4485-4E9C-B518-8D558D054931}">
            <xm:f>$H$37=入力フォームリスト!$G$5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43" id="{EBF91000-E10C-49B1-BF22-8E20C4FA46CD}">
            <xm:f>$H$37=入力フォームリスト!$G$3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44" id="{419B2C89-33C7-4D37-9858-FF1AF989003F}">
            <xm:f>$H$37=入力フォームリスト!$G$2</xm:f>
            <x14:dxf>
              <fill>
                <patternFill>
                  <bgColor theme="0" tint="-0.499984740745262"/>
                </patternFill>
              </fill>
            </x14:dxf>
          </x14:cfRule>
          <xm:sqref>H42:J42</xm:sqref>
        </x14:conditionalFormatting>
        <x14:conditionalFormatting xmlns:xm="http://schemas.microsoft.com/office/excel/2006/main">
          <x14:cfRule type="expression" priority="40" id="{D112CD8E-A893-4B1C-AFB4-B53D6376FC7B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m:sqref>H45:J46</xm:sqref>
        </x14:conditionalFormatting>
        <x14:conditionalFormatting xmlns:xm="http://schemas.microsoft.com/office/excel/2006/main">
          <x14:cfRule type="expression" priority="39" id="{AEA9CE04-F1FF-4E0E-AAD9-158BB2A87D42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m:sqref>H48:J49</xm:sqref>
        </x14:conditionalFormatting>
        <x14:conditionalFormatting xmlns:xm="http://schemas.microsoft.com/office/excel/2006/main">
          <x14:cfRule type="expression" priority="33" id="{16AB0974-81EB-4943-8C84-01E6575EA041}">
            <xm:f>$H$6=入力フォームリスト!$A$2</xm:f>
            <x14:dxf>
              <fill>
                <patternFill>
                  <bgColor theme="0" tint="-0.499984740745262"/>
                </patternFill>
              </fill>
            </x14:dxf>
          </x14:cfRule>
          <xm:sqref>H22:J22</xm:sqref>
        </x14:conditionalFormatting>
        <x14:conditionalFormatting xmlns:xm="http://schemas.microsoft.com/office/excel/2006/main">
          <x14:cfRule type="expression" priority="30" id="{5DF9B762-B012-4D91-950D-B26C530571CE}">
            <xm:f>$H$6=入力フォームリスト!$B$15</xm:f>
            <x14:dxf>
              <fill>
                <patternFill>
                  <bgColor theme="0" tint="-0.499984740745262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24" id="{75FD533D-7F50-4A42-8679-BC25696E28A9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28" id="{1193F776-101C-4715-9DFD-E5D2866462F4}">
            <xm:f>$H$6=入力フォームリスト!$B$15</xm:f>
            <x14:dxf>
              <fill>
                <patternFill>
                  <bgColor theme="0" tint="-0.499984740745262"/>
                </patternFill>
              </fill>
            </x14:dxf>
          </x14:cfRule>
          <xm:sqref>H20:J22</xm:sqref>
        </x14:conditionalFormatting>
        <x14:conditionalFormatting xmlns:xm="http://schemas.microsoft.com/office/excel/2006/main">
          <x14:cfRule type="expression" priority="22" id="{A1FC366D-CDAF-4B21-8296-89C44782FADF}">
            <xm:f>$H$5=入力フォームリスト!$A$5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m:sqref>H23:J24</xm:sqref>
        </x14:conditionalFormatting>
        <x14:conditionalFormatting xmlns:xm="http://schemas.microsoft.com/office/excel/2006/main">
          <x14:cfRule type="expression" priority="55" id="{CD4BFD0F-D04C-4968-98CB-253A99322D5C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6" id="{EDCFC247-E877-42D7-B486-C7F252370272}">
            <xm:f>$H$37=入力フォームリスト!$G$5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7" id="{675C633A-A912-4A0B-9C8E-3F3204EC2F50}">
            <xm:f>$H$37=入力フォームリスト!$G$3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58" id="{1F11F6D6-38A5-4871-A931-E7EA79A38B5C}">
            <xm:f>$H$37=入力フォームリスト!$G$2</xm:f>
            <x14:dxf>
              <fill>
                <patternFill>
                  <bgColor theme="0" tint="-0.499984740745262"/>
                </patternFill>
              </fill>
            </x14:dxf>
          </x14:cfRule>
          <xm:sqref>H38:J38</xm:sqref>
        </x14:conditionalFormatting>
        <x14:conditionalFormatting xmlns:xm="http://schemas.microsoft.com/office/excel/2006/main">
          <x14:cfRule type="expression" priority="18" id="{601F5E2B-8B6F-4A20-86D6-80C5B4EEC7D0}">
            <xm:f>$H$37=入力フォームリスト!$G$9</xm:f>
            <x14:dxf>
              <fill>
                <patternFill>
                  <bgColor theme="0" tint="-0.499984740745262"/>
                </patternFill>
              </fill>
            </x14:dxf>
          </x14:cfRule>
          <xm:sqref>H50:J50</xm:sqref>
        </x14:conditionalFormatting>
        <x14:conditionalFormatting xmlns:xm="http://schemas.microsoft.com/office/excel/2006/main">
          <x14:cfRule type="expression" priority="37" id="{2B6DB7B8-0082-4D68-B8FD-F6EE3774598C}">
            <xm:f>$H$6=入力フォームリスト!$A$5</xm:f>
            <x14:dxf>
              <fill>
                <patternFill>
                  <bgColor theme="0" tint="-0.499984740745262"/>
                </patternFill>
              </fill>
            </x14:dxf>
          </x14:cfRule>
          <x14:cfRule type="expression" priority="38" id="{DCC25BE5-107D-40EB-8453-6231EB30DC97}">
            <xm:f>$H$6=入力フォームリスト!$A$2</xm:f>
            <x14:dxf>
              <fill>
                <patternFill>
                  <bgColor theme="0" tint="-0.499984740745262"/>
                </patternFill>
              </fill>
            </x14:dxf>
          </x14:cfRule>
          <xm:sqref>I13 I16</xm:sqref>
        </x14:conditionalFormatting>
        <x14:conditionalFormatting xmlns:xm="http://schemas.microsoft.com/office/excel/2006/main">
          <x14:cfRule type="expression" priority="15" id="{29A46041-B50C-485A-9471-66BED3CB35AB}">
            <xm:f>$H$6=入力フォームリスト!$A$3</xm:f>
            <x14:dxf>
              <fill>
                <patternFill>
                  <bgColor theme="0" tint="-0.499984740745262"/>
                </patternFill>
              </fill>
            </x14:dxf>
          </x14:cfRule>
          <xm:sqref>H18:J21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5F4A14-E9AE-41B8-BD26-66C2ECF29ABC}">
          <x14:formula1>
            <xm:f>入力フォームリスト!$D$1:$D$3</xm:f>
          </x14:formula1>
          <xm:sqref>H20 H23:J24 H50:J50</xm:sqref>
        </x14:dataValidation>
        <x14:dataValidation type="list" allowBlank="1" showInputMessage="1" showErrorMessage="1" xr:uid="{83ABC84F-21A6-4D41-A7AC-3560E233AB8D}">
          <x14:formula1>
            <xm:f>入力フォームリスト!$A$1:$A$5</xm:f>
          </x14:formula1>
          <xm:sqref>H6:J6</xm:sqref>
        </x14:dataValidation>
        <x14:dataValidation type="list" allowBlank="1" showInputMessage="1" showErrorMessage="1" xr:uid="{94051B9F-EF23-49B2-9F64-EA8819005BF2}">
          <x14:formula1>
            <xm:f>入力フォームリスト!$F$1:$F$3</xm:f>
          </x14:formula1>
          <xm:sqref>H30</xm:sqref>
        </x14:dataValidation>
        <x14:dataValidation type="list" allowBlank="1" showInputMessage="1" showErrorMessage="1" xr:uid="{D286E13D-1C95-4928-92A8-CAE3FB497055}">
          <x14:formula1>
            <xm:f>入力フォームリスト!$G$1:$G$9</xm:f>
          </x14:formula1>
          <xm:sqref>H37:J37</xm:sqref>
        </x14:dataValidation>
        <x14:dataValidation type="list" allowBlank="1" showInputMessage="1" showErrorMessage="1" xr:uid="{560E1E92-61AA-4CDF-A69E-E38962A5667C}">
          <x14:formula1>
            <xm:f>入力フォームリスト!$H$1:$H$3</xm:f>
          </x14:formula1>
          <xm:sqref>H38:J38</xm:sqref>
        </x14:dataValidation>
        <x14:dataValidation type="list" allowBlank="1" showInputMessage="1" showErrorMessage="1" xr:uid="{0A7FC0D9-5C2E-4C4C-8C73-EC619F565186}">
          <x14:formula1>
            <xm:f>入力フォームリスト!$C$1:$C$3</xm:f>
          </x14:formula1>
          <xm:sqref>H22:J22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6A55-FBBF-4BE3-9EF7-D852382833A5}">
  <sheetPr>
    <tabColor rgb="FFFFFF00"/>
    <pageSetUpPr fitToPage="1"/>
  </sheetPr>
  <dimension ref="A1:CB49"/>
  <sheetViews>
    <sheetView showGridLines="0" topLeftCell="A25" zoomScaleNormal="100" workbookViewId="0">
      <selection activeCell="BQ20" sqref="BQ20:BZ20"/>
    </sheetView>
  </sheetViews>
  <sheetFormatPr defaultColWidth="1.125" defaultRowHeight="15.75" customHeight="1"/>
  <cols>
    <col min="1" max="64" width="1.125" style="23"/>
    <col min="65" max="65" width="1.125" style="23" customWidth="1"/>
    <col min="66" max="16384" width="1.125" style="23"/>
  </cols>
  <sheetData>
    <row r="1" spans="1:80" ht="26.25" customHeight="1">
      <c r="A1" s="281" t="s">
        <v>194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V1" s="281"/>
      <c r="BW1" s="281"/>
      <c r="BX1" s="281"/>
      <c r="BY1" s="281"/>
      <c r="BZ1" s="281"/>
      <c r="CA1" s="281"/>
      <c r="CB1" s="281"/>
    </row>
    <row r="2" spans="1:80" ht="16.5" customHeight="1">
      <c r="A2" s="181"/>
      <c r="B2" s="181"/>
      <c r="C2" s="181"/>
      <c r="D2" s="181"/>
      <c r="E2" s="181"/>
      <c r="F2" s="181"/>
      <c r="G2" s="181"/>
      <c r="H2" s="186" t="s">
        <v>154</v>
      </c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5" t="s">
        <v>145</v>
      </c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6" t="s">
        <v>146</v>
      </c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</row>
    <row r="3" spans="1:80" ht="18" customHeight="1">
      <c r="A3" s="186" t="s">
        <v>198</v>
      </c>
      <c r="B3" s="186"/>
      <c r="C3" s="186"/>
      <c r="D3" s="186"/>
      <c r="E3" s="186"/>
      <c r="F3" s="186"/>
      <c r="G3" s="186"/>
      <c r="H3" s="185" t="str">
        <f>IF(①入力フォーム!H5="","",①入力フォーム!H5)</f>
        <v/>
      </c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 t="str">
        <f>IF(①入力フォーム!H6="","該当しない",①入力フォーム!H6)</f>
        <v>該当しない</v>
      </c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 t="str">
        <f>計算!B9</f>
        <v>該当しない</v>
      </c>
      <c r="AH3" s="185"/>
      <c r="AI3" s="185"/>
      <c r="AJ3" s="185"/>
      <c r="AK3" s="185"/>
      <c r="AL3" s="185"/>
      <c r="AM3" s="185"/>
      <c r="AN3" s="185"/>
      <c r="AO3" s="185"/>
      <c r="AP3" s="185"/>
      <c r="AQ3" s="185" t="str">
        <f>IF(計算!C15="有",計算!D15,IF(計算!C14="有",計算!D14,IF(計算!C13="有",計算!D13,"対象建築物ではない")))</f>
        <v>対象建築物ではない</v>
      </c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</row>
    <row r="4" spans="1:80" ht="18" customHeight="1">
      <c r="A4" s="186" t="s">
        <v>143</v>
      </c>
      <c r="B4" s="186"/>
      <c r="C4" s="186"/>
      <c r="D4" s="186"/>
      <c r="E4" s="186"/>
      <c r="F4" s="186"/>
      <c r="G4" s="186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 t="str">
        <f>IF(①入力フォーム!H37="","該当しない",①入力フォーム!H37)</f>
        <v>該当しない</v>
      </c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2" t="str">
        <f>計算!B10</f>
        <v>該当しない</v>
      </c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4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</row>
    <row r="5" spans="1:80" ht="4.5" customHeight="1" thickBot="1"/>
    <row r="6" spans="1:80" ht="16.5" customHeight="1">
      <c r="A6" s="282"/>
      <c r="B6" s="283"/>
      <c r="C6" s="283"/>
      <c r="D6" s="283"/>
      <c r="E6" s="283"/>
      <c r="F6" s="284"/>
      <c r="G6" s="288" t="s">
        <v>77</v>
      </c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90"/>
      <c r="AR6" s="288" t="s">
        <v>78</v>
      </c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91"/>
    </row>
    <row r="7" spans="1:80" ht="16.5" customHeight="1">
      <c r="A7" s="285"/>
      <c r="B7" s="286"/>
      <c r="C7" s="286"/>
      <c r="D7" s="286"/>
      <c r="E7" s="286"/>
      <c r="F7" s="287"/>
      <c r="G7" s="292" t="s">
        <v>80</v>
      </c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2" t="s">
        <v>81</v>
      </c>
      <c r="AJ7" s="293"/>
      <c r="AK7" s="293"/>
      <c r="AL7" s="293"/>
      <c r="AM7" s="293"/>
      <c r="AN7" s="293"/>
      <c r="AO7" s="293"/>
      <c r="AP7" s="293"/>
      <c r="AQ7" s="294"/>
      <c r="AR7" s="292" t="s">
        <v>80</v>
      </c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2" t="s">
        <v>82</v>
      </c>
      <c r="BU7" s="293"/>
      <c r="BV7" s="293"/>
      <c r="BW7" s="293"/>
      <c r="BX7" s="293"/>
      <c r="BY7" s="293"/>
      <c r="BZ7" s="293"/>
      <c r="CA7" s="293"/>
      <c r="CB7" s="295"/>
    </row>
    <row r="8" spans="1:80" ht="22.5" customHeight="1">
      <c r="A8" s="298" t="s">
        <v>83</v>
      </c>
      <c r="B8" s="197"/>
      <c r="C8" s="197"/>
      <c r="D8" s="197"/>
      <c r="E8" s="197"/>
      <c r="F8" s="200"/>
      <c r="G8" s="270">
        <f>①入力フォーム!H13+①入力フォーム!I13</f>
        <v>0</v>
      </c>
      <c r="H8" s="271"/>
      <c r="I8" s="271"/>
      <c r="J8" s="271"/>
      <c r="K8" s="271"/>
      <c r="L8" s="197" t="s">
        <v>84</v>
      </c>
      <c r="M8" s="197"/>
      <c r="N8" s="300" t="s">
        <v>177</v>
      </c>
      <c r="O8" s="300"/>
      <c r="P8" s="197" t="s">
        <v>88</v>
      </c>
      <c r="Q8" s="197"/>
      <c r="R8" s="202" t="s">
        <v>180</v>
      </c>
      <c r="S8" s="202"/>
      <c r="T8" s="202"/>
      <c r="U8" s="202"/>
      <c r="V8" s="202"/>
      <c r="W8" s="202"/>
      <c r="X8" s="271">
        <f>①入力フォーム!H16+①入力フォーム!I16</f>
        <v>0</v>
      </c>
      <c r="Y8" s="271"/>
      <c r="Z8" s="271"/>
      <c r="AA8" s="271"/>
      <c r="AB8" s="271"/>
      <c r="AC8" s="197" t="s">
        <v>84</v>
      </c>
      <c r="AD8" s="197"/>
      <c r="AE8" s="300" t="s">
        <v>178</v>
      </c>
      <c r="AF8" s="300"/>
      <c r="AI8" s="274">
        <f>①入力フォーム!J13</f>
        <v>0</v>
      </c>
      <c r="AJ8" s="275"/>
      <c r="AK8" s="275"/>
      <c r="AL8" s="275"/>
      <c r="AM8" s="275"/>
      <c r="AN8" s="275"/>
      <c r="AO8" s="275"/>
      <c r="AP8" s="171" t="s">
        <v>84</v>
      </c>
      <c r="AQ8" s="195"/>
      <c r="AR8" s="270">
        <f>IF(①入力フォーム!H22=入力フォームリスト!C2,"大店立地",①入力フォーム!H33+①入力フォーム!I33)</f>
        <v>0</v>
      </c>
      <c r="AS8" s="271"/>
      <c r="AT8" s="271"/>
      <c r="AU8" s="271"/>
      <c r="AV8" s="271"/>
      <c r="AW8" s="271"/>
      <c r="AX8" s="271"/>
      <c r="AY8" s="271"/>
      <c r="AZ8" s="197" t="str">
        <f>IF(AR8="大店立地","","台")</f>
        <v>台</v>
      </c>
      <c r="BA8" s="197"/>
      <c r="BB8" s="299"/>
      <c r="BC8" s="299"/>
      <c r="BD8" s="299"/>
      <c r="BE8" s="299"/>
      <c r="BF8" s="299"/>
      <c r="BG8" s="299"/>
      <c r="BH8" s="299"/>
      <c r="BI8" s="299"/>
      <c r="BJ8" s="299"/>
      <c r="BK8" s="271" t="str">
        <f>IF(AR8="大店立地","台","")</f>
        <v/>
      </c>
      <c r="BL8" s="271"/>
      <c r="BM8" s="271"/>
      <c r="BN8" s="271"/>
      <c r="BO8" s="38"/>
      <c r="BP8" s="38"/>
      <c r="BQ8" s="38"/>
      <c r="BR8" s="27"/>
      <c r="BS8" s="39"/>
      <c r="BT8" s="274">
        <f>計算!D19</f>
        <v>0</v>
      </c>
      <c r="BU8" s="275"/>
      <c r="BV8" s="275"/>
      <c r="BW8" s="275"/>
      <c r="BX8" s="275"/>
      <c r="BY8" s="275"/>
      <c r="BZ8" s="275"/>
      <c r="CA8" s="171" t="s">
        <v>84</v>
      </c>
      <c r="CB8" s="276"/>
    </row>
    <row r="9" spans="1:80" ht="22.5" customHeight="1" thickBot="1">
      <c r="A9" s="296" t="s">
        <v>85</v>
      </c>
      <c r="B9" s="277"/>
      <c r="C9" s="277"/>
      <c r="D9" s="277"/>
      <c r="E9" s="277"/>
      <c r="F9" s="297"/>
      <c r="G9" s="279">
        <f>①入力フォーム!H45</f>
        <v>0</v>
      </c>
      <c r="H9" s="280"/>
      <c r="I9" s="280"/>
      <c r="J9" s="280"/>
      <c r="K9" s="280"/>
      <c r="L9" s="277" t="s">
        <v>86</v>
      </c>
      <c r="M9" s="277"/>
      <c r="N9" s="277" t="s">
        <v>177</v>
      </c>
      <c r="O9" s="277"/>
      <c r="P9" s="277" t="s">
        <v>88</v>
      </c>
      <c r="Q9" s="277"/>
      <c r="R9" s="277" t="s">
        <v>89</v>
      </c>
      <c r="S9" s="277"/>
      <c r="T9" s="277"/>
      <c r="U9" s="277"/>
      <c r="V9" s="280">
        <f>①入力フォーム!I45</f>
        <v>0</v>
      </c>
      <c r="W9" s="280"/>
      <c r="X9" s="280"/>
      <c r="Y9" s="280"/>
      <c r="Z9" s="277" t="s">
        <v>86</v>
      </c>
      <c r="AA9" s="277"/>
      <c r="AB9" s="24"/>
      <c r="AC9" s="277" t="s">
        <v>90</v>
      </c>
      <c r="AD9" s="277"/>
      <c r="AE9" s="277"/>
      <c r="AF9" s="277"/>
      <c r="AG9" s="277"/>
      <c r="AH9" s="277"/>
      <c r="AI9" s="277"/>
      <c r="AJ9" s="280">
        <f>①入力フォーム!J45</f>
        <v>0</v>
      </c>
      <c r="AK9" s="280"/>
      <c r="AL9" s="280"/>
      <c r="AM9" s="280"/>
      <c r="AN9" s="277" t="s">
        <v>86</v>
      </c>
      <c r="AO9" s="277"/>
      <c r="AP9" s="277" t="s">
        <v>179</v>
      </c>
      <c r="AQ9" s="297"/>
      <c r="AR9" s="279">
        <f>①入力フォーム!H48</f>
        <v>0</v>
      </c>
      <c r="AS9" s="280"/>
      <c r="AT9" s="280"/>
      <c r="AU9" s="280"/>
      <c r="AV9" s="280"/>
      <c r="AW9" s="277" t="s">
        <v>86</v>
      </c>
      <c r="AX9" s="277"/>
      <c r="AY9" s="277" t="s">
        <v>87</v>
      </c>
      <c r="AZ9" s="277"/>
      <c r="BA9" s="277" t="s">
        <v>88</v>
      </c>
      <c r="BB9" s="277"/>
      <c r="BC9" s="277" t="s">
        <v>89</v>
      </c>
      <c r="BD9" s="277"/>
      <c r="BE9" s="277"/>
      <c r="BF9" s="277"/>
      <c r="BG9" s="280">
        <f>計算!C27</f>
        <v>0</v>
      </c>
      <c r="BH9" s="280"/>
      <c r="BI9" s="280"/>
      <c r="BJ9" s="280"/>
      <c r="BK9" s="277" t="s">
        <v>86</v>
      </c>
      <c r="BL9" s="277"/>
      <c r="BM9" s="24"/>
      <c r="BN9" s="277" t="s">
        <v>90</v>
      </c>
      <c r="BO9" s="277"/>
      <c r="BP9" s="277"/>
      <c r="BQ9" s="277"/>
      <c r="BR9" s="277"/>
      <c r="BS9" s="277"/>
      <c r="BT9" s="277"/>
      <c r="BU9" s="280">
        <f>計算!D27</f>
        <v>0</v>
      </c>
      <c r="BV9" s="280"/>
      <c r="BW9" s="280"/>
      <c r="BX9" s="280"/>
      <c r="BY9" s="277" t="s">
        <v>86</v>
      </c>
      <c r="BZ9" s="277"/>
      <c r="CA9" s="277" t="s">
        <v>91</v>
      </c>
      <c r="CB9" s="278"/>
    </row>
    <row r="10" spans="1:80" ht="4.5" customHeight="1"/>
    <row r="11" spans="1:80" ht="16.5" customHeight="1">
      <c r="A11" s="210" t="s">
        <v>92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</row>
    <row r="12" spans="1:80" ht="16.5" customHeight="1">
      <c r="C12" s="191" t="s">
        <v>98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</row>
    <row r="13" spans="1:80" ht="3.75" customHeight="1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80" ht="15.75" customHeight="1">
      <c r="C14" s="191" t="s">
        <v>99</v>
      </c>
      <c r="D14" s="191"/>
      <c r="E14" s="191"/>
      <c r="F14" s="191"/>
      <c r="G14" s="191"/>
      <c r="H14" s="191"/>
      <c r="I14" s="191"/>
      <c r="J14" s="191"/>
    </row>
    <row r="15" spans="1:80" ht="15.75" customHeight="1">
      <c r="A15" s="194"/>
      <c r="B15" s="171"/>
      <c r="C15" s="171"/>
      <c r="D15" s="194" t="s">
        <v>100</v>
      </c>
      <c r="E15" s="171"/>
      <c r="F15" s="171"/>
      <c r="G15" s="171"/>
      <c r="H15" s="171"/>
      <c r="I15" s="171"/>
      <c r="J15" s="171"/>
      <c r="K15" s="171"/>
      <c r="L15" s="195"/>
      <c r="M15" s="237" t="s">
        <v>101</v>
      </c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237" t="s">
        <v>102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95"/>
      <c r="BA15" s="238" t="s">
        <v>103</v>
      </c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95"/>
    </row>
    <row r="16" spans="1:80" ht="15.75" customHeight="1">
      <c r="A16" s="173"/>
      <c r="B16" s="174"/>
      <c r="C16" s="174"/>
      <c r="D16" s="173"/>
      <c r="E16" s="174"/>
      <c r="F16" s="174"/>
      <c r="G16" s="174"/>
      <c r="H16" s="174"/>
      <c r="I16" s="174"/>
      <c r="J16" s="174"/>
      <c r="K16" s="174"/>
      <c r="L16" s="179"/>
      <c r="M16" s="175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5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80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80"/>
    </row>
    <row r="17" spans="1:80" ht="15.75" customHeight="1">
      <c r="A17" s="194" t="s">
        <v>104</v>
      </c>
      <c r="B17" s="171"/>
      <c r="C17" s="195"/>
      <c r="D17" s="237" t="s">
        <v>105</v>
      </c>
      <c r="E17" s="238"/>
      <c r="F17" s="238"/>
      <c r="G17" s="238"/>
      <c r="H17" s="238"/>
      <c r="I17" s="238"/>
      <c r="J17" s="238"/>
      <c r="K17" s="238"/>
      <c r="L17" s="239"/>
      <c r="M17" s="259">
        <f>①入力フォーム!H7</f>
        <v>0</v>
      </c>
      <c r="N17" s="259"/>
      <c r="O17" s="259"/>
      <c r="P17" s="259"/>
      <c r="Q17" s="259"/>
      <c r="R17" s="259"/>
      <c r="S17" s="259"/>
      <c r="T17" s="259"/>
      <c r="U17" s="259"/>
      <c r="V17" s="243" t="s">
        <v>106</v>
      </c>
      <c r="W17" s="243"/>
      <c r="X17" s="233"/>
      <c r="Y17" s="250" t="s">
        <v>114</v>
      </c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2"/>
      <c r="BA17" s="210" t="s">
        <v>107</v>
      </c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1"/>
    </row>
    <row r="18" spans="1:80" ht="15.75" customHeight="1">
      <c r="A18" s="173"/>
      <c r="B18" s="174"/>
      <c r="C18" s="179"/>
      <c r="D18" s="203"/>
      <c r="E18" s="204"/>
      <c r="F18" s="204"/>
      <c r="G18" s="204"/>
      <c r="H18" s="204"/>
      <c r="I18" s="204"/>
      <c r="J18" s="204"/>
      <c r="K18" s="204"/>
      <c r="L18" s="205"/>
      <c r="M18" s="259"/>
      <c r="N18" s="259"/>
      <c r="O18" s="259"/>
      <c r="P18" s="259"/>
      <c r="Q18" s="259"/>
      <c r="R18" s="259"/>
      <c r="S18" s="259"/>
      <c r="T18" s="259"/>
      <c r="U18" s="259"/>
      <c r="V18" s="219"/>
      <c r="W18" s="219"/>
      <c r="X18" s="220"/>
      <c r="Y18" s="190" t="s">
        <v>93</v>
      </c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16" t="str">
        <f>IF(①入力フォーム!H20=入力フォームリスト!D2,"有","無")</f>
        <v>無</v>
      </c>
      <c r="AO18" s="216"/>
      <c r="AP18" s="216"/>
      <c r="AQ18" s="216"/>
      <c r="AZ18" s="46"/>
      <c r="BA18" s="190" t="s">
        <v>108</v>
      </c>
      <c r="BB18" s="191"/>
      <c r="BC18" s="191"/>
      <c r="BD18" s="191"/>
      <c r="BE18" s="191"/>
      <c r="BF18" s="191"/>
      <c r="BG18" s="191"/>
      <c r="BH18" s="191"/>
      <c r="BI18" s="191"/>
      <c r="BJ18" s="191"/>
      <c r="BK18" s="174" t="s">
        <v>171</v>
      </c>
      <c r="BL18" s="174"/>
      <c r="BM18" s="174"/>
      <c r="BN18" s="174"/>
      <c r="BO18" s="174"/>
      <c r="BP18" s="174"/>
      <c r="BQ18" s="216" t="str">
        <f>IF(M19&gt;=50,"該当","非該当")</f>
        <v>非該当</v>
      </c>
      <c r="BR18" s="216"/>
      <c r="BS18" s="216"/>
      <c r="BT18" s="216"/>
      <c r="BU18" s="216"/>
      <c r="BV18" s="216"/>
      <c r="BW18" s="216"/>
      <c r="BX18" s="216"/>
      <c r="BY18" s="216"/>
      <c r="BZ18" s="216"/>
      <c r="CA18" s="174"/>
      <c r="CB18" s="179"/>
    </row>
    <row r="19" spans="1:80" ht="15.75" customHeight="1">
      <c r="A19" s="173"/>
      <c r="B19" s="174"/>
      <c r="C19" s="179"/>
      <c r="D19" s="203"/>
      <c r="E19" s="204"/>
      <c r="F19" s="204"/>
      <c r="G19" s="204"/>
      <c r="H19" s="204"/>
      <c r="I19" s="204"/>
      <c r="J19" s="204"/>
      <c r="K19" s="204"/>
      <c r="L19" s="205"/>
      <c r="M19" s="230">
        <f>①入力フォーム!H18</f>
        <v>0</v>
      </c>
      <c r="N19" s="260"/>
      <c r="O19" s="260"/>
      <c r="P19" s="260"/>
      <c r="Q19" s="260"/>
      <c r="R19" s="260"/>
      <c r="S19" s="260"/>
      <c r="T19" s="260"/>
      <c r="U19" s="260"/>
      <c r="V19" s="219" t="s">
        <v>95</v>
      </c>
      <c r="W19" s="219"/>
      <c r="X19" s="220"/>
      <c r="Y19" s="173" t="s">
        <v>190</v>
      </c>
      <c r="Z19" s="262"/>
      <c r="AA19" s="191" t="str">
        <f>IF(AN18="有","計画戸数×0.75÷6戸","計画戸数÷6戸")</f>
        <v>計画戸数÷6戸</v>
      </c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45"/>
      <c r="BB19" s="43"/>
      <c r="BC19" s="43"/>
      <c r="BD19" s="43"/>
      <c r="BE19" s="43"/>
      <c r="BF19" s="43"/>
      <c r="BG19" s="43"/>
      <c r="BH19" s="43"/>
      <c r="BI19" s="43"/>
      <c r="BJ19" s="43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4"/>
    </row>
    <row r="20" spans="1:80" ht="15.75" customHeight="1">
      <c r="A20" s="173"/>
      <c r="B20" s="174"/>
      <c r="C20" s="179"/>
      <c r="D20" s="203"/>
      <c r="E20" s="204"/>
      <c r="F20" s="204"/>
      <c r="G20" s="204"/>
      <c r="H20" s="204"/>
      <c r="I20" s="204"/>
      <c r="J20" s="204"/>
      <c r="K20" s="204"/>
      <c r="L20" s="205"/>
      <c r="M20" s="230"/>
      <c r="N20" s="260"/>
      <c r="O20" s="260"/>
      <c r="P20" s="260"/>
      <c r="Q20" s="260"/>
      <c r="R20" s="260"/>
      <c r="S20" s="260"/>
      <c r="T20" s="260"/>
      <c r="U20" s="260"/>
      <c r="V20" s="219"/>
      <c r="W20" s="219"/>
      <c r="X20" s="220"/>
      <c r="Y20" s="173" t="s">
        <v>97</v>
      </c>
      <c r="Z20" s="174"/>
      <c r="AA20" s="174"/>
      <c r="AB20" s="257">
        <f>IF(M17&gt;2000,IF(AN18="無",'②提出書類(①入力後、印刷して防犯交通安全課に提出）'!M19/6,M19*0.75/6),IF(P29&gt;1000,M19/6,0))</f>
        <v>0</v>
      </c>
      <c r="AC20" s="257"/>
      <c r="AD20" s="257"/>
      <c r="AE20" s="257"/>
      <c r="AF20" s="257"/>
      <c r="AG20" s="257"/>
      <c r="AH20" s="257"/>
      <c r="AI20" s="257"/>
      <c r="AJ20" s="257"/>
      <c r="AK20" s="174" t="s">
        <v>84</v>
      </c>
      <c r="AL20" s="174"/>
      <c r="AM20" s="174"/>
      <c r="AN20" s="174" t="s">
        <v>110</v>
      </c>
      <c r="AO20" s="174"/>
      <c r="AP20" s="174"/>
      <c r="AQ20" s="258">
        <f>IF(AB20=0,0,ROUNDUP(AB20,0))</f>
        <v>0</v>
      </c>
      <c r="AR20" s="258"/>
      <c r="AS20" s="258"/>
      <c r="AT20" s="258"/>
      <c r="AU20" s="258"/>
      <c r="AV20" s="258"/>
      <c r="AW20" s="174" t="s">
        <v>84</v>
      </c>
      <c r="AX20" s="174"/>
      <c r="AY20" s="174"/>
      <c r="AZ20" s="179"/>
      <c r="BA20" s="190" t="s">
        <v>111</v>
      </c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74" t="s">
        <v>109</v>
      </c>
      <c r="BP20" s="174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174" t="s">
        <v>170</v>
      </c>
      <c r="CB20" s="179"/>
    </row>
    <row r="21" spans="1:80" ht="15.75" customHeight="1">
      <c r="A21" s="175"/>
      <c r="B21" s="176"/>
      <c r="C21" s="180"/>
      <c r="D21" s="206"/>
      <c r="E21" s="207"/>
      <c r="F21" s="207"/>
      <c r="G21" s="207"/>
      <c r="H21" s="207"/>
      <c r="I21" s="207"/>
      <c r="J21" s="207"/>
      <c r="K21" s="207"/>
      <c r="L21" s="208"/>
      <c r="M21" s="232"/>
      <c r="N21" s="223"/>
      <c r="O21" s="223"/>
      <c r="P21" s="223"/>
      <c r="Q21" s="223"/>
      <c r="R21" s="223"/>
      <c r="S21" s="223"/>
      <c r="T21" s="223"/>
      <c r="U21" s="223"/>
      <c r="V21" s="224"/>
      <c r="W21" s="224"/>
      <c r="X21" s="225"/>
      <c r="Y21" s="175"/>
      <c r="Z21" s="176"/>
      <c r="AA21" s="176"/>
      <c r="AB21" s="301"/>
      <c r="AC21" s="301"/>
      <c r="AD21" s="301"/>
      <c r="AE21" s="301"/>
      <c r="AF21" s="301"/>
      <c r="AG21" s="301"/>
      <c r="AH21" s="301"/>
      <c r="AI21" s="301"/>
      <c r="AJ21" s="301"/>
      <c r="AK21" s="176"/>
      <c r="AL21" s="176"/>
      <c r="AM21" s="176"/>
      <c r="AN21" s="176"/>
      <c r="AO21" s="176"/>
      <c r="AP21" s="176"/>
      <c r="AQ21" s="261"/>
      <c r="AR21" s="261"/>
      <c r="AS21" s="261"/>
      <c r="AT21" s="261"/>
      <c r="AU21" s="261"/>
      <c r="AV21" s="261"/>
      <c r="AW21" s="176"/>
      <c r="AX21" s="176"/>
      <c r="AY21" s="176"/>
      <c r="AZ21" s="180"/>
      <c r="BA21" s="253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80"/>
    </row>
    <row r="22" spans="1:80" ht="15.75" customHeight="1">
      <c r="A22" s="264" t="s">
        <v>112</v>
      </c>
      <c r="B22" s="264"/>
      <c r="C22" s="264"/>
      <c r="D22" s="267" t="s">
        <v>113</v>
      </c>
      <c r="E22" s="267"/>
      <c r="F22" s="267"/>
      <c r="G22" s="267"/>
      <c r="H22" s="267"/>
      <c r="I22" s="267"/>
      <c r="J22" s="267"/>
      <c r="K22" s="267"/>
      <c r="L22" s="267"/>
      <c r="M22" s="227">
        <f>①入力フォーム!H8</f>
        <v>0</v>
      </c>
      <c r="N22" s="227"/>
      <c r="O22" s="227"/>
      <c r="P22" s="227"/>
      <c r="Q22" s="227"/>
      <c r="R22" s="227"/>
      <c r="S22" s="227"/>
      <c r="T22" s="227"/>
      <c r="U22" s="228"/>
      <c r="V22" s="233" t="s">
        <v>106</v>
      </c>
      <c r="W22" s="234"/>
      <c r="X22" s="234"/>
      <c r="Y22" s="250" t="s">
        <v>205</v>
      </c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2"/>
      <c r="BA22" s="250" t="s">
        <v>114</v>
      </c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2"/>
    </row>
    <row r="23" spans="1:80" ht="15.75" customHeight="1">
      <c r="A23" s="265"/>
      <c r="B23" s="265"/>
      <c r="C23" s="265"/>
      <c r="D23" s="268"/>
      <c r="E23" s="268"/>
      <c r="F23" s="268"/>
      <c r="G23" s="268"/>
      <c r="H23" s="268"/>
      <c r="I23" s="268"/>
      <c r="J23" s="268"/>
      <c r="K23" s="268"/>
      <c r="L23" s="268"/>
      <c r="M23" s="229"/>
      <c r="N23" s="229"/>
      <c r="O23" s="229"/>
      <c r="P23" s="229"/>
      <c r="Q23" s="229"/>
      <c r="R23" s="229"/>
      <c r="S23" s="229"/>
      <c r="T23" s="229"/>
      <c r="U23" s="230"/>
      <c r="V23" s="220"/>
      <c r="W23" s="235"/>
      <c r="X23" s="235"/>
      <c r="Y23" s="190" t="s">
        <v>115</v>
      </c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2"/>
      <c r="BA23" s="190" t="s">
        <v>108</v>
      </c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O23" s="174" t="s">
        <v>109</v>
      </c>
      <c r="BP23" s="174"/>
      <c r="BQ23" s="216" t="str">
        <f>IF(M22&gt;2000,"該当","非該当")</f>
        <v>非該当</v>
      </c>
      <c r="BR23" s="216"/>
      <c r="BS23" s="216"/>
      <c r="BT23" s="216"/>
      <c r="BU23" s="216"/>
      <c r="BV23" s="216"/>
      <c r="BW23" s="216"/>
      <c r="BX23" s="216"/>
      <c r="BY23" s="216"/>
      <c r="BZ23" s="216"/>
      <c r="CA23" s="174" t="s">
        <v>91</v>
      </c>
      <c r="CB23" s="179"/>
    </row>
    <row r="24" spans="1:80" ht="15.75" customHeight="1">
      <c r="A24" s="265"/>
      <c r="B24" s="265"/>
      <c r="C24" s="265"/>
      <c r="D24" s="268"/>
      <c r="E24" s="268"/>
      <c r="F24" s="268"/>
      <c r="G24" s="268"/>
      <c r="H24" s="268"/>
      <c r="I24" s="268"/>
      <c r="J24" s="268"/>
      <c r="K24" s="268"/>
      <c r="L24" s="268"/>
      <c r="M24" s="229"/>
      <c r="N24" s="229"/>
      <c r="O24" s="229"/>
      <c r="P24" s="229"/>
      <c r="Q24" s="229"/>
      <c r="R24" s="229"/>
      <c r="S24" s="229"/>
      <c r="T24" s="229"/>
      <c r="U24" s="230"/>
      <c r="V24" s="220"/>
      <c r="W24" s="235"/>
      <c r="X24" s="235"/>
      <c r="Y24" s="173" t="s">
        <v>97</v>
      </c>
      <c r="Z24" s="174"/>
      <c r="AA24" s="174"/>
      <c r="AB24" s="257">
        <f>IF(AR8="大店立地","",IF(①入力フォーム!H30=入力フォームリスト!F2,IF(M22&gt;1000,M22/200,IF(P29&gt;1000,M22/200,0)),0))</f>
        <v>0</v>
      </c>
      <c r="AC24" s="257"/>
      <c r="AD24" s="257"/>
      <c r="AE24" s="257"/>
      <c r="AF24" s="257"/>
      <c r="AG24" s="257"/>
      <c r="AH24" s="257"/>
      <c r="AI24" s="257"/>
      <c r="AJ24" s="257"/>
      <c r="AK24" s="174" t="s">
        <v>84</v>
      </c>
      <c r="AL24" s="174"/>
      <c r="AM24" s="174"/>
      <c r="AN24" s="174" t="s">
        <v>110</v>
      </c>
      <c r="AO24" s="174"/>
      <c r="AP24" s="174"/>
      <c r="AQ24" s="258">
        <f>IF(AB24="","",ROUNDUP(AB24,0))</f>
        <v>0</v>
      </c>
      <c r="AR24" s="258"/>
      <c r="AS24" s="258"/>
      <c r="AT24" s="258"/>
      <c r="AU24" s="258"/>
      <c r="AV24" s="258"/>
      <c r="AW24" s="174" t="s">
        <v>84</v>
      </c>
      <c r="AX24" s="174"/>
      <c r="AY24" s="174"/>
      <c r="AZ24" s="179"/>
      <c r="BA24" s="190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O24" s="174"/>
      <c r="BP24" s="174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174"/>
      <c r="CB24" s="179"/>
    </row>
    <row r="25" spans="1:80" ht="15.75" customHeight="1">
      <c r="A25" s="266"/>
      <c r="B25" s="266"/>
      <c r="C25" s="266"/>
      <c r="D25" s="269"/>
      <c r="E25" s="269"/>
      <c r="F25" s="269"/>
      <c r="G25" s="269"/>
      <c r="H25" s="269"/>
      <c r="I25" s="269"/>
      <c r="J25" s="269"/>
      <c r="K25" s="269"/>
      <c r="L25" s="269"/>
      <c r="M25" s="231"/>
      <c r="N25" s="231"/>
      <c r="O25" s="231"/>
      <c r="P25" s="231"/>
      <c r="Q25" s="231"/>
      <c r="R25" s="231"/>
      <c r="S25" s="231"/>
      <c r="T25" s="231"/>
      <c r="U25" s="232"/>
      <c r="V25" s="225"/>
      <c r="W25" s="236"/>
      <c r="X25" s="236"/>
      <c r="Y25" s="175" t="s">
        <v>116</v>
      </c>
      <c r="Z25" s="176"/>
      <c r="AA25" s="176"/>
      <c r="AB25" s="176" t="s">
        <v>117</v>
      </c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261" t="str">
        <f>IF(①入力フォーム!H30=入力フォームリスト!F3,①入力フォーム!I13,"")</f>
        <v/>
      </c>
      <c r="AR25" s="261"/>
      <c r="AS25" s="261"/>
      <c r="AT25" s="261"/>
      <c r="AU25" s="261"/>
      <c r="AV25" s="261"/>
      <c r="AW25" s="176" t="s">
        <v>84</v>
      </c>
      <c r="AX25" s="176"/>
      <c r="AY25" s="176"/>
      <c r="AZ25" s="180"/>
      <c r="BA25" s="253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6"/>
      <c r="BO25" s="176"/>
      <c r="BP25" s="176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176"/>
      <c r="CB25" s="180"/>
    </row>
    <row r="26" spans="1:80" ht="15.75" customHeight="1">
      <c r="A26" s="194" t="s">
        <v>118</v>
      </c>
      <c r="B26" s="171"/>
      <c r="C26" s="171"/>
      <c r="D26" s="237" t="s">
        <v>119</v>
      </c>
      <c r="E26" s="238"/>
      <c r="F26" s="238"/>
      <c r="G26" s="238"/>
      <c r="H26" s="238"/>
      <c r="I26" s="238"/>
      <c r="J26" s="238"/>
      <c r="K26" s="238"/>
      <c r="L26" s="239"/>
      <c r="M26" s="240" t="s">
        <v>104</v>
      </c>
      <c r="N26" s="241"/>
      <c r="O26" s="241"/>
      <c r="P26" s="242">
        <f>M17</f>
        <v>0</v>
      </c>
      <c r="Q26" s="242"/>
      <c r="R26" s="242"/>
      <c r="S26" s="242"/>
      <c r="T26" s="242"/>
      <c r="U26" s="242"/>
      <c r="V26" s="243" t="s">
        <v>106</v>
      </c>
      <c r="W26" s="243"/>
      <c r="X26" s="233"/>
      <c r="Y26" s="244" t="s">
        <v>120</v>
      </c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245"/>
    </row>
    <row r="27" spans="1:80" ht="15.75" customHeight="1">
      <c r="A27" s="173"/>
      <c r="B27" s="174"/>
      <c r="C27" s="174"/>
      <c r="D27" s="203"/>
      <c r="E27" s="204"/>
      <c r="F27" s="204"/>
      <c r="G27" s="204"/>
      <c r="H27" s="204"/>
      <c r="I27" s="204"/>
      <c r="J27" s="204"/>
      <c r="K27" s="204"/>
      <c r="L27" s="205"/>
      <c r="M27" s="248" t="s">
        <v>96</v>
      </c>
      <c r="N27" s="249"/>
      <c r="O27" s="249"/>
      <c r="P27" s="249">
        <v>0.5</v>
      </c>
      <c r="Q27" s="249"/>
      <c r="R27" s="249"/>
      <c r="S27" s="249"/>
      <c r="T27" s="249" t="s">
        <v>121</v>
      </c>
      <c r="U27" s="249"/>
      <c r="V27" s="249"/>
      <c r="W27" s="36"/>
      <c r="X27" s="37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2"/>
    </row>
    <row r="28" spans="1:80" ht="15.75" customHeight="1">
      <c r="A28" s="173"/>
      <c r="B28" s="174"/>
      <c r="C28" s="174"/>
      <c r="D28" s="203"/>
      <c r="E28" s="204"/>
      <c r="F28" s="204"/>
      <c r="G28" s="204"/>
      <c r="H28" s="204"/>
      <c r="I28" s="204"/>
      <c r="J28" s="204"/>
      <c r="K28" s="204"/>
      <c r="L28" s="205"/>
      <c r="M28" s="248" t="s">
        <v>112</v>
      </c>
      <c r="N28" s="249"/>
      <c r="O28" s="249"/>
      <c r="P28" s="255">
        <f>M22</f>
        <v>0</v>
      </c>
      <c r="Q28" s="255"/>
      <c r="R28" s="255"/>
      <c r="S28" s="255"/>
      <c r="T28" s="255"/>
      <c r="U28" s="255"/>
      <c r="V28" s="219" t="s">
        <v>106</v>
      </c>
      <c r="W28" s="219"/>
      <c r="X28" s="220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2"/>
    </row>
    <row r="29" spans="1:80" ht="15.75" customHeight="1">
      <c r="A29" s="175"/>
      <c r="B29" s="176"/>
      <c r="C29" s="176"/>
      <c r="D29" s="206"/>
      <c r="E29" s="207"/>
      <c r="F29" s="207"/>
      <c r="G29" s="207"/>
      <c r="H29" s="207"/>
      <c r="I29" s="207"/>
      <c r="J29" s="207"/>
      <c r="K29" s="207"/>
      <c r="L29" s="208"/>
      <c r="M29" s="221" t="s">
        <v>97</v>
      </c>
      <c r="N29" s="222"/>
      <c r="O29" s="222"/>
      <c r="P29" s="223">
        <f>M17*0.5+P28</f>
        <v>0</v>
      </c>
      <c r="Q29" s="223"/>
      <c r="R29" s="223"/>
      <c r="S29" s="223"/>
      <c r="T29" s="223"/>
      <c r="U29" s="223"/>
      <c r="V29" s="224" t="s">
        <v>106</v>
      </c>
      <c r="W29" s="224"/>
      <c r="X29" s="225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7"/>
    </row>
    <row r="30" spans="1:80" ht="4.5" customHeight="1"/>
    <row r="31" spans="1:80" ht="16.5" customHeight="1">
      <c r="A31" s="174" t="s">
        <v>79</v>
      </c>
      <c r="B31" s="174"/>
      <c r="C31" s="174"/>
      <c r="D31" s="174"/>
      <c r="E31" s="174"/>
      <c r="F31" s="174"/>
      <c r="G31" s="174"/>
      <c r="H31" s="174" t="s">
        <v>109</v>
      </c>
      <c r="I31" s="174"/>
      <c r="J31" s="216" t="str">
        <f>IF(AR8&gt;0,"有","無")</f>
        <v>無</v>
      </c>
      <c r="K31" s="216"/>
      <c r="L31" s="216"/>
      <c r="M31" s="174" t="s">
        <v>91</v>
      </c>
      <c r="N31" s="174"/>
      <c r="O31" s="174" t="s">
        <v>122</v>
      </c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 t="s">
        <v>109</v>
      </c>
      <c r="AC31" s="174"/>
      <c r="AD31" s="216" t="str">
        <f>IF(BQ18="該当","有",IF(BQ23="該当","有","無"))</f>
        <v>無</v>
      </c>
      <c r="AE31" s="216"/>
      <c r="AF31" s="216"/>
      <c r="AG31" s="174" t="s">
        <v>91</v>
      </c>
      <c r="AH31" s="174"/>
      <c r="AI31" s="174" t="s">
        <v>189</v>
      </c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 t="s">
        <v>109</v>
      </c>
      <c r="AU31" s="174"/>
      <c r="AV31" s="216" t="str">
        <f>IF(①入力フォーム!H23=入力フォームリスト!D2,"有","無")</f>
        <v>無</v>
      </c>
      <c r="AW31" s="216"/>
      <c r="AX31" s="216"/>
      <c r="AY31" s="174" t="s">
        <v>91</v>
      </c>
      <c r="AZ31" s="174"/>
      <c r="BA31" s="191" t="s">
        <v>174</v>
      </c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74" t="s">
        <v>109</v>
      </c>
      <c r="BM31" s="174"/>
      <c r="BN31" s="216" t="str">
        <f>IF(①入力フォーム!H24=入力フォームリスト!D2,"有","無")</f>
        <v>無</v>
      </c>
      <c r="BO31" s="216"/>
      <c r="BP31" s="216"/>
      <c r="BQ31" s="174" t="s">
        <v>91</v>
      </c>
      <c r="BR31" s="174"/>
    </row>
    <row r="32" spans="1:80" ht="15" customHeight="1">
      <c r="A32" s="226" t="s">
        <v>188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</row>
    <row r="33" spans="1:80" ht="16.5" customHeight="1">
      <c r="A33" s="191" t="s">
        <v>123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74" t="s">
        <v>109</v>
      </c>
      <c r="AN33" s="174"/>
      <c r="AO33" s="216" t="str">
        <f>IF(①入力フォーム!H22=入力フォームリスト!C2,"超える","超えない")</f>
        <v>超えない</v>
      </c>
      <c r="AP33" s="216"/>
      <c r="AQ33" s="216"/>
      <c r="AR33" s="216"/>
      <c r="AS33" s="216"/>
      <c r="AT33" s="216"/>
      <c r="AU33" s="216"/>
      <c r="AV33" s="216"/>
      <c r="AW33" s="216"/>
      <c r="AX33" s="174" t="s">
        <v>91</v>
      </c>
      <c r="AY33" s="174"/>
      <c r="AZ33" s="174" t="s">
        <v>116</v>
      </c>
      <c r="BA33" s="174"/>
      <c r="BB33" s="174" t="s">
        <v>109</v>
      </c>
      <c r="BC33" s="174"/>
      <c r="BD33" s="216" t="str">
        <f>IF(AO33="超える","大規模小売店舗立地法対象","大規模小売店舗立地法対象外")</f>
        <v>大規模小売店舗立地法対象外</v>
      </c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174" t="s">
        <v>91</v>
      </c>
      <c r="CB33" s="174"/>
    </row>
    <row r="34" spans="1:80" ht="4.5" customHeight="1"/>
    <row r="35" spans="1:80" ht="16.5" customHeight="1">
      <c r="A35" s="210" t="s">
        <v>203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</row>
    <row r="36" spans="1:80" ht="16.5" customHeight="1">
      <c r="C36" s="191" t="s">
        <v>99</v>
      </c>
      <c r="D36" s="191"/>
      <c r="E36" s="191"/>
      <c r="F36" s="191"/>
      <c r="G36" s="191"/>
      <c r="H36" s="191"/>
      <c r="I36" s="191"/>
      <c r="J36" s="191"/>
    </row>
    <row r="37" spans="1:80" ht="17.25" customHeight="1">
      <c r="A37" s="181" t="s">
        <v>202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 t="s">
        <v>94</v>
      </c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 t="s">
        <v>124</v>
      </c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</row>
    <row r="38" spans="1:80" ht="17.25" customHeight="1">
      <c r="A38" s="199" t="s">
        <v>200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200"/>
      <c r="S38" s="182">
        <f>①入力フォーム!H39</f>
        <v>0</v>
      </c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97" t="s">
        <v>95</v>
      </c>
      <c r="AF38" s="197"/>
      <c r="AG38" s="200"/>
      <c r="AH38" s="201" t="s">
        <v>125</v>
      </c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7" t="s">
        <v>110</v>
      </c>
      <c r="BE38" s="27"/>
      <c r="BF38" s="183">
        <f>S38</f>
        <v>0</v>
      </c>
      <c r="BG38" s="183"/>
      <c r="BH38" s="183"/>
      <c r="BI38" s="183"/>
      <c r="BJ38" s="183"/>
      <c r="BK38" s="197" t="s">
        <v>84</v>
      </c>
      <c r="BL38" s="197"/>
      <c r="BM38" s="194" t="s">
        <v>109</v>
      </c>
      <c r="BN38" s="171"/>
      <c r="BO38" s="170" t="s">
        <v>126</v>
      </c>
      <c r="BP38" s="170"/>
      <c r="BQ38" s="170"/>
      <c r="BR38" s="170"/>
      <c r="BS38" s="170"/>
      <c r="BT38" s="170"/>
      <c r="BU38" s="241">
        <f>①入力フォーム!I48</f>
        <v>0</v>
      </c>
      <c r="BV38" s="241"/>
      <c r="BW38" s="241"/>
      <c r="BX38" s="241"/>
      <c r="BY38" s="171" t="s">
        <v>84</v>
      </c>
      <c r="BZ38" s="171"/>
      <c r="CA38" s="171" t="s">
        <v>91</v>
      </c>
      <c r="CB38" s="195"/>
    </row>
    <row r="39" spans="1:80" ht="17.25" customHeight="1">
      <c r="A39" s="199" t="s">
        <v>201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200"/>
      <c r="S39" s="182">
        <f>①入力フォーム!H40</f>
        <v>0</v>
      </c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97" t="s">
        <v>95</v>
      </c>
      <c r="AF39" s="197"/>
      <c r="AG39" s="200"/>
      <c r="AH39" s="201" t="s">
        <v>127</v>
      </c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197" t="s">
        <v>97</v>
      </c>
      <c r="AU39" s="197"/>
      <c r="AV39" s="196">
        <f>IF(S39=0,0,S39*1.5)</f>
        <v>0</v>
      </c>
      <c r="AW39" s="196"/>
      <c r="AX39" s="196"/>
      <c r="AY39" s="196"/>
      <c r="AZ39" s="196"/>
      <c r="BA39" s="196"/>
      <c r="BB39" s="197" t="s">
        <v>84</v>
      </c>
      <c r="BC39" s="197"/>
      <c r="BD39" s="197" t="s">
        <v>110</v>
      </c>
      <c r="BE39" s="197"/>
      <c r="BF39" s="198">
        <f>ROUNDUP(AV39,0)</f>
        <v>0</v>
      </c>
      <c r="BG39" s="198"/>
      <c r="BH39" s="198"/>
      <c r="BI39" s="198"/>
      <c r="BJ39" s="198"/>
      <c r="BK39" s="197" t="s">
        <v>84</v>
      </c>
      <c r="BL39" s="197"/>
      <c r="BM39" s="217"/>
      <c r="BN39" s="218"/>
      <c r="BO39" s="218"/>
      <c r="BP39" s="218"/>
      <c r="BQ39" s="218"/>
      <c r="BR39" s="218"/>
      <c r="BS39" s="218"/>
      <c r="BT39" s="218"/>
      <c r="BU39" s="272"/>
      <c r="BV39" s="272"/>
      <c r="BW39" s="272"/>
      <c r="BX39" s="272"/>
      <c r="BY39" s="218"/>
      <c r="BZ39" s="218"/>
      <c r="CA39" s="218"/>
      <c r="CB39" s="273"/>
    </row>
    <row r="40" spans="1:80" ht="6" customHeight="1"/>
    <row r="41" spans="1:80" ht="15.75" customHeight="1">
      <c r="A41" s="194" t="s">
        <v>100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95"/>
      <c r="M41" s="194" t="s">
        <v>128</v>
      </c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95"/>
      <c r="AA41" s="194" t="s">
        <v>129</v>
      </c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95"/>
    </row>
    <row r="42" spans="1:80" ht="15.75" customHeight="1">
      <c r="A42" s="203" t="s">
        <v>130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5"/>
      <c r="M42" s="190" t="s">
        <v>131</v>
      </c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2"/>
      <c r="AA42" s="209" t="s">
        <v>132</v>
      </c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1"/>
    </row>
    <row r="43" spans="1:80" ht="15.75" customHeight="1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5"/>
      <c r="M43" s="212">
        <f>①入力フォーム!H41</f>
        <v>0</v>
      </c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174" t="s">
        <v>106</v>
      </c>
      <c r="Y43" s="174"/>
      <c r="Z43" s="179"/>
      <c r="AA43" s="173" t="s">
        <v>97</v>
      </c>
      <c r="AB43" s="174"/>
      <c r="AC43" s="188">
        <f>IF(計算!B3=0,0,計算!B3)</f>
        <v>0</v>
      </c>
      <c r="AD43" s="188"/>
      <c r="AE43" s="188"/>
      <c r="AF43" s="188"/>
      <c r="AG43" s="188"/>
      <c r="AH43" s="188"/>
      <c r="AI43" s="188"/>
      <c r="AJ43" s="174" t="s">
        <v>84</v>
      </c>
      <c r="AK43" s="174"/>
      <c r="AL43" s="174" t="s">
        <v>110</v>
      </c>
      <c r="AM43" s="174"/>
      <c r="AN43" s="187">
        <f>ROUNDUP(AC43/40,0)</f>
        <v>0</v>
      </c>
      <c r="AO43" s="187"/>
      <c r="AP43" s="187"/>
      <c r="AQ43" s="187"/>
      <c r="AR43" s="187"/>
      <c r="AS43" s="174" t="s">
        <v>84</v>
      </c>
      <c r="AT43" s="174"/>
      <c r="AU43" s="174" t="s">
        <v>109</v>
      </c>
      <c r="AV43" s="174"/>
      <c r="AW43" s="23" t="s">
        <v>88</v>
      </c>
      <c r="AZ43" s="191" t="s">
        <v>133</v>
      </c>
      <c r="BA43" s="191"/>
      <c r="BB43" s="191"/>
      <c r="BC43" s="191"/>
      <c r="BD43" s="187">
        <f>IF(AN43=0,0,1)</f>
        <v>0</v>
      </c>
      <c r="BE43" s="187"/>
      <c r="BF43" s="187"/>
      <c r="BG43" s="187"/>
      <c r="BH43" s="187"/>
      <c r="BI43" s="174" t="s">
        <v>84</v>
      </c>
      <c r="BJ43" s="174"/>
      <c r="BL43" s="174" t="s">
        <v>134</v>
      </c>
      <c r="BM43" s="174"/>
      <c r="BN43" s="174"/>
      <c r="BO43" s="174"/>
      <c r="BP43" s="174"/>
      <c r="BQ43" s="174"/>
      <c r="BR43" s="174"/>
      <c r="BS43" s="174"/>
      <c r="BT43" s="187">
        <f>IF(AN43=0,0,1)</f>
        <v>0</v>
      </c>
      <c r="BU43" s="187"/>
      <c r="BV43" s="187"/>
      <c r="BW43" s="187"/>
      <c r="BX43" s="187"/>
      <c r="BY43" s="174" t="s">
        <v>84</v>
      </c>
      <c r="BZ43" s="174"/>
      <c r="CA43" s="174" t="s">
        <v>91</v>
      </c>
      <c r="CB43" s="179"/>
    </row>
    <row r="44" spans="1:80" ht="15.75" customHeight="1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5"/>
      <c r="M44" s="214" t="s">
        <v>135</v>
      </c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2"/>
      <c r="AA44" s="209" t="s">
        <v>206</v>
      </c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1"/>
    </row>
    <row r="45" spans="1:80" ht="15.75" customHeight="1">
      <c r="A45" s="203"/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05"/>
      <c r="M45" s="212">
        <f>①入力フォーム!H42</f>
        <v>0</v>
      </c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174" t="s">
        <v>106</v>
      </c>
      <c r="Y45" s="174"/>
      <c r="Z45" s="179"/>
      <c r="AA45" s="190" t="s">
        <v>136</v>
      </c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2"/>
    </row>
    <row r="46" spans="1:80" ht="15.75" customHeight="1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5"/>
      <c r="M46" s="173" t="s">
        <v>97</v>
      </c>
      <c r="N46" s="174"/>
      <c r="O46" s="174"/>
      <c r="P46" s="177">
        <f>IF(M43="","",M43-M45)</f>
        <v>0</v>
      </c>
      <c r="Q46" s="177"/>
      <c r="R46" s="177"/>
      <c r="S46" s="177"/>
      <c r="T46" s="177"/>
      <c r="U46" s="177"/>
      <c r="V46" s="177"/>
      <c r="W46" s="177"/>
      <c r="X46" s="174" t="s">
        <v>106</v>
      </c>
      <c r="Y46" s="174"/>
      <c r="Z46" s="179"/>
      <c r="AA46" s="190" t="s">
        <v>137</v>
      </c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2"/>
    </row>
    <row r="47" spans="1:80" ht="15.75" customHeight="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5"/>
      <c r="M47" s="173"/>
      <c r="N47" s="174"/>
      <c r="O47" s="174"/>
      <c r="P47" s="177"/>
      <c r="Q47" s="177"/>
      <c r="R47" s="177"/>
      <c r="S47" s="177"/>
      <c r="T47" s="177"/>
      <c r="U47" s="177"/>
      <c r="V47" s="177"/>
      <c r="W47" s="177"/>
      <c r="X47" s="174"/>
      <c r="Y47" s="174"/>
      <c r="Z47" s="179"/>
      <c r="AA47" s="173" t="s">
        <v>97</v>
      </c>
      <c r="AB47" s="174"/>
      <c r="AC47" s="188">
        <f>IF(P46&gt;5000,IF(①入力フォーム!H38=入力フォームリスト!E2,5000/20,5000/40),IF(①入力フォーム!H38=入力フォームリスト!E2,計算!B4/20,計算!B4/40))</f>
        <v>0</v>
      </c>
      <c r="AD47" s="188"/>
      <c r="AE47" s="188"/>
      <c r="AF47" s="188"/>
      <c r="AG47" s="188"/>
      <c r="AH47" s="188"/>
      <c r="AI47" s="188"/>
      <c r="AJ47" s="174" t="s">
        <v>84</v>
      </c>
      <c r="AK47" s="174"/>
      <c r="AL47" s="174" t="s">
        <v>110</v>
      </c>
      <c r="AM47" s="174"/>
      <c r="AN47" s="187">
        <f>ROUNDUP(AC47,0)</f>
        <v>0</v>
      </c>
      <c r="AO47" s="187"/>
      <c r="AP47" s="187"/>
      <c r="AQ47" s="187"/>
      <c r="AR47" s="187"/>
      <c r="AS47" s="174" t="s">
        <v>84</v>
      </c>
      <c r="AT47" s="174"/>
      <c r="AU47" s="174" t="s">
        <v>121</v>
      </c>
      <c r="AV47" s="174"/>
      <c r="AW47" s="191" t="s">
        <v>138</v>
      </c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215">
        <f>IF(計算!B5=0,IF(計算!B4=0,0,IF(①入力フォーム!H38=入力フォームリスト!H2,計算!B4/20,計算!B4/40)),IF(①入力フォーム!H38=入力フォームリスト!E2,計算!B5/20,計算!B5/40))</f>
        <v>0</v>
      </c>
      <c r="BN47" s="215"/>
      <c r="BO47" s="215"/>
      <c r="BP47" s="215"/>
      <c r="BQ47" s="215"/>
      <c r="BR47" s="215"/>
      <c r="BS47" s="174" t="s">
        <v>84</v>
      </c>
      <c r="BT47" s="174"/>
      <c r="BU47" s="174" t="s">
        <v>110</v>
      </c>
      <c r="BV47" s="174"/>
      <c r="BW47" s="187">
        <f>ROUNDUP(BM47,0)</f>
        <v>0</v>
      </c>
      <c r="BX47" s="187"/>
      <c r="BY47" s="187"/>
      <c r="BZ47" s="187"/>
      <c r="CA47" s="174" t="s">
        <v>84</v>
      </c>
      <c r="CB47" s="179"/>
    </row>
    <row r="48" spans="1:80" ht="16.5" customHeight="1">
      <c r="A48" s="206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8"/>
      <c r="M48" s="175"/>
      <c r="N48" s="176"/>
      <c r="O48" s="176"/>
      <c r="P48" s="178"/>
      <c r="Q48" s="178"/>
      <c r="R48" s="178"/>
      <c r="S48" s="178"/>
      <c r="T48" s="178"/>
      <c r="U48" s="178"/>
      <c r="V48" s="178"/>
      <c r="W48" s="178"/>
      <c r="X48" s="176"/>
      <c r="Y48" s="176"/>
      <c r="Z48" s="180"/>
      <c r="AA48" s="175" t="s">
        <v>109</v>
      </c>
      <c r="AB48" s="176"/>
      <c r="AC48" s="176" t="s">
        <v>88</v>
      </c>
      <c r="AD48" s="176"/>
      <c r="AE48" s="26"/>
      <c r="AF48" s="176" t="s">
        <v>139</v>
      </c>
      <c r="AG48" s="176"/>
      <c r="AH48" s="176"/>
      <c r="AI48" s="176"/>
      <c r="AJ48" s="193">
        <f>IF(AN47=0,0,1)</f>
        <v>0</v>
      </c>
      <c r="AK48" s="193"/>
      <c r="AL48" s="193"/>
      <c r="AM48" s="193"/>
      <c r="AN48" s="193"/>
      <c r="AO48" s="193"/>
      <c r="AP48" s="193"/>
      <c r="AQ48" s="176" t="s">
        <v>84</v>
      </c>
      <c r="AR48" s="176"/>
      <c r="AS48" s="26"/>
      <c r="AT48" s="176" t="s">
        <v>134</v>
      </c>
      <c r="AU48" s="176"/>
      <c r="AV48" s="176"/>
      <c r="AW48" s="176"/>
      <c r="AX48" s="176"/>
      <c r="AY48" s="176"/>
      <c r="AZ48" s="176"/>
      <c r="BA48" s="176"/>
      <c r="BB48" s="176"/>
      <c r="BC48" s="193">
        <f>IF(AN47=0,0,1)</f>
        <v>0</v>
      </c>
      <c r="BD48" s="193"/>
      <c r="BE48" s="193"/>
      <c r="BF48" s="193"/>
      <c r="BG48" s="193"/>
      <c r="BH48" s="193"/>
      <c r="BI48" s="176" t="s">
        <v>84</v>
      </c>
      <c r="BJ48" s="176"/>
      <c r="BK48" s="176" t="s">
        <v>91</v>
      </c>
      <c r="BL48" s="17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8"/>
    </row>
    <row r="49" spans="1:80" ht="15.75" customHeight="1">
      <c r="A49" s="170" t="s">
        <v>140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1" t="s">
        <v>109</v>
      </c>
      <c r="U49" s="171"/>
      <c r="V49" s="172" t="str">
        <f>IF(①入力フォーム!H50=入力フォームリスト!D2,"有","無")</f>
        <v>無</v>
      </c>
      <c r="W49" s="172"/>
      <c r="X49" s="172"/>
      <c r="Y49" s="171" t="s">
        <v>91</v>
      </c>
      <c r="Z49" s="171"/>
      <c r="AA49" s="29" t="s">
        <v>141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BL49" s="189" t="s">
        <v>193</v>
      </c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</row>
  </sheetData>
  <sheetProtection algorithmName="SHA-512" hashValue="55lMRDbwUH2QYMtdFjneJVY21U4RmzJhb7kr4tZPi5UBzfYPo2VqDXTtHo/Fnd7gtCcsVS9aOQ1NibR0k6v45Q==" saltValue="BEeUQPU8wFbOzFh8LTpBcQ==" spinCount="100000" sheet="1" objects="1" scenarios="1"/>
  <mergeCells count="243">
    <mergeCell ref="BQ31:BR31"/>
    <mergeCell ref="BN31:BP31"/>
    <mergeCell ref="N8:O8"/>
    <mergeCell ref="X8:AB8"/>
    <mergeCell ref="BK8:BN8"/>
    <mergeCell ref="AE8:AF8"/>
    <mergeCell ref="R8:W8"/>
    <mergeCell ref="P8:Q8"/>
    <mergeCell ref="AY9:AZ9"/>
    <mergeCell ref="BA9:BB9"/>
    <mergeCell ref="BC9:BF9"/>
    <mergeCell ref="BG9:BJ9"/>
    <mergeCell ref="AC9:AI9"/>
    <mergeCell ref="AJ9:AM9"/>
    <mergeCell ref="AN9:AO9"/>
    <mergeCell ref="AP9:AQ9"/>
    <mergeCell ref="AB25:AP25"/>
    <mergeCell ref="AQ25:AV25"/>
    <mergeCell ref="BA17:CB17"/>
    <mergeCell ref="BA18:BJ18"/>
    <mergeCell ref="BQ18:BZ18"/>
    <mergeCell ref="CA18:CB18"/>
    <mergeCell ref="Y20:AA21"/>
    <mergeCell ref="AB20:AJ21"/>
    <mergeCell ref="A1:CB1"/>
    <mergeCell ref="A6:F7"/>
    <mergeCell ref="G6:AQ6"/>
    <mergeCell ref="AR6:CB6"/>
    <mergeCell ref="G7:AH7"/>
    <mergeCell ref="AI7:AQ7"/>
    <mergeCell ref="AR7:BS7"/>
    <mergeCell ref="BT7:CB7"/>
    <mergeCell ref="BK18:BP18"/>
    <mergeCell ref="A9:F9"/>
    <mergeCell ref="G9:K9"/>
    <mergeCell ref="L9:M9"/>
    <mergeCell ref="N9:O9"/>
    <mergeCell ref="P9:Q9"/>
    <mergeCell ref="R9:U9"/>
    <mergeCell ref="A8:F8"/>
    <mergeCell ref="AC8:AD8"/>
    <mergeCell ref="AI8:AO8"/>
    <mergeCell ref="BK9:BL9"/>
    <mergeCell ref="BN9:BT9"/>
    <mergeCell ref="V9:Y9"/>
    <mergeCell ref="Z9:AA9"/>
    <mergeCell ref="AR8:AY8"/>
    <mergeCell ref="BB8:BJ8"/>
    <mergeCell ref="G8:K8"/>
    <mergeCell ref="L8:M8"/>
    <mergeCell ref="BU38:BX39"/>
    <mergeCell ref="BY38:BZ39"/>
    <mergeCell ref="CA38:CB39"/>
    <mergeCell ref="BA31:BK31"/>
    <mergeCell ref="BL31:BM31"/>
    <mergeCell ref="BT8:BZ8"/>
    <mergeCell ref="CA8:CB8"/>
    <mergeCell ref="AZ8:BA8"/>
    <mergeCell ref="CA9:CB9"/>
    <mergeCell ref="C12:CA12"/>
    <mergeCell ref="C14:J14"/>
    <mergeCell ref="A15:C16"/>
    <mergeCell ref="D15:L16"/>
    <mergeCell ref="M15:X16"/>
    <mergeCell ref="Y15:AZ16"/>
    <mergeCell ref="BA15:CB16"/>
    <mergeCell ref="BY9:BZ9"/>
    <mergeCell ref="AR9:AV9"/>
    <mergeCell ref="AP8:AQ8"/>
    <mergeCell ref="A11:S11"/>
    <mergeCell ref="BU9:BX9"/>
    <mergeCell ref="AW9:AX9"/>
    <mergeCell ref="Y24:AA24"/>
    <mergeCell ref="AB24:AJ24"/>
    <mergeCell ref="AK24:AM24"/>
    <mergeCell ref="AN24:AP24"/>
    <mergeCell ref="AQ24:AV24"/>
    <mergeCell ref="AW24:AZ24"/>
    <mergeCell ref="Y25:AA25"/>
    <mergeCell ref="A17:C21"/>
    <mergeCell ref="D17:L21"/>
    <mergeCell ref="M17:U18"/>
    <mergeCell ref="V17:X18"/>
    <mergeCell ref="Y17:AZ17"/>
    <mergeCell ref="M19:U21"/>
    <mergeCell ref="V19:X21"/>
    <mergeCell ref="AK20:AM21"/>
    <mergeCell ref="AN20:AP21"/>
    <mergeCell ref="AQ20:AV21"/>
    <mergeCell ref="AW20:AZ21"/>
    <mergeCell ref="AN18:AQ18"/>
    <mergeCell ref="Y19:Z19"/>
    <mergeCell ref="AA19:AZ19"/>
    <mergeCell ref="Y18:AM18"/>
    <mergeCell ref="A22:C25"/>
    <mergeCell ref="D22:L25"/>
    <mergeCell ref="BO20:BP20"/>
    <mergeCell ref="BQ20:BZ20"/>
    <mergeCell ref="CA20:CB20"/>
    <mergeCell ref="BA21:BN21"/>
    <mergeCell ref="BO21:BP21"/>
    <mergeCell ref="BQ21:BZ21"/>
    <mergeCell ref="CA21:CB21"/>
    <mergeCell ref="AW25:AZ25"/>
    <mergeCell ref="CA23:CB25"/>
    <mergeCell ref="BA20:BN20"/>
    <mergeCell ref="M22:U25"/>
    <mergeCell ref="V22:X25"/>
    <mergeCell ref="A31:G31"/>
    <mergeCell ref="H31:I31"/>
    <mergeCell ref="J31:L31"/>
    <mergeCell ref="M31:N31"/>
    <mergeCell ref="O31:AA31"/>
    <mergeCell ref="A26:C29"/>
    <mergeCell ref="D26:L29"/>
    <mergeCell ref="M26:O26"/>
    <mergeCell ref="P26:U26"/>
    <mergeCell ref="V26:X26"/>
    <mergeCell ref="Y26:CB29"/>
    <mergeCell ref="M27:O27"/>
    <mergeCell ref="P27:S27"/>
    <mergeCell ref="T27:V27"/>
    <mergeCell ref="Y22:AZ22"/>
    <mergeCell ref="BA22:CB22"/>
    <mergeCell ref="Y23:AZ23"/>
    <mergeCell ref="BA23:BM25"/>
    <mergeCell ref="BO23:BP25"/>
    <mergeCell ref="BQ23:BZ25"/>
    <mergeCell ref="M28:O28"/>
    <mergeCell ref="P28:U28"/>
    <mergeCell ref="V28:X28"/>
    <mergeCell ref="M29:O29"/>
    <mergeCell ref="P29:U29"/>
    <mergeCell ref="V29:X29"/>
    <mergeCell ref="BB33:BC33"/>
    <mergeCell ref="AD31:AF31"/>
    <mergeCell ref="AG31:AH31"/>
    <mergeCell ref="AI31:AS31"/>
    <mergeCell ref="AT31:AU31"/>
    <mergeCell ref="AV31:AX31"/>
    <mergeCell ref="AY31:AZ31"/>
    <mergeCell ref="AB31:AC31"/>
    <mergeCell ref="A32:AO32"/>
    <mergeCell ref="BF38:BJ38"/>
    <mergeCell ref="BK38:BL38"/>
    <mergeCell ref="BU47:BV47"/>
    <mergeCell ref="BW47:BZ47"/>
    <mergeCell ref="CA33:CB33"/>
    <mergeCell ref="A35:CB35"/>
    <mergeCell ref="C36:J36"/>
    <mergeCell ref="A37:R37"/>
    <mergeCell ref="S37:AG37"/>
    <mergeCell ref="AH37:CB37"/>
    <mergeCell ref="A33:AL33"/>
    <mergeCell ref="AM33:AN33"/>
    <mergeCell ref="AO33:AW33"/>
    <mergeCell ref="A38:R38"/>
    <mergeCell ref="S38:AD38"/>
    <mergeCell ref="AE38:AG38"/>
    <mergeCell ref="AH38:BC38"/>
    <mergeCell ref="BM38:BN39"/>
    <mergeCell ref="BO38:BT39"/>
    <mergeCell ref="AJ43:AK43"/>
    <mergeCell ref="AL43:AM43"/>
    <mergeCell ref="AX33:AY33"/>
    <mergeCell ref="AZ33:BA33"/>
    <mergeCell ref="BD33:BZ33"/>
    <mergeCell ref="A42:L48"/>
    <mergeCell ref="M42:Z42"/>
    <mergeCell ref="AA42:CB42"/>
    <mergeCell ref="M43:W43"/>
    <mergeCell ref="X43:Z43"/>
    <mergeCell ref="AA43:AB43"/>
    <mergeCell ref="BS47:BT47"/>
    <mergeCell ref="M44:Z44"/>
    <mergeCell ref="AA44:CB44"/>
    <mergeCell ref="M45:W45"/>
    <mergeCell ref="AA46:CB46"/>
    <mergeCell ref="AA47:AB47"/>
    <mergeCell ref="AC47:AI47"/>
    <mergeCell ref="AW47:BL47"/>
    <mergeCell ref="BM47:BR47"/>
    <mergeCell ref="A41:L41"/>
    <mergeCell ref="M41:Z41"/>
    <mergeCell ref="AA41:CB41"/>
    <mergeCell ref="AV39:BA39"/>
    <mergeCell ref="BB39:BC39"/>
    <mergeCell ref="BD39:BE39"/>
    <mergeCell ref="BF39:BJ39"/>
    <mergeCell ref="BK39:BL39"/>
    <mergeCell ref="A39:R39"/>
    <mergeCell ref="S39:AD39"/>
    <mergeCell ref="AE39:AG39"/>
    <mergeCell ref="AH39:AS39"/>
    <mergeCell ref="AT39:AU39"/>
    <mergeCell ref="BL49:CB49"/>
    <mergeCell ref="X45:Z45"/>
    <mergeCell ref="AA45:CB45"/>
    <mergeCell ref="AS43:AT43"/>
    <mergeCell ref="AU43:AV43"/>
    <mergeCell ref="AZ43:BC43"/>
    <mergeCell ref="BD43:BH43"/>
    <mergeCell ref="BI43:BJ43"/>
    <mergeCell ref="BL43:BS43"/>
    <mergeCell ref="CA43:CB43"/>
    <mergeCell ref="BT43:BX43"/>
    <mergeCell ref="BY43:BZ43"/>
    <mergeCell ref="AN43:AR43"/>
    <mergeCell ref="CA47:CB47"/>
    <mergeCell ref="AA48:AB48"/>
    <mergeCell ref="AC48:AD48"/>
    <mergeCell ref="AF48:AI48"/>
    <mergeCell ref="AJ48:AP48"/>
    <mergeCell ref="AQ48:AR48"/>
    <mergeCell ref="AT48:BB48"/>
    <mergeCell ref="BC48:BH48"/>
    <mergeCell ref="BI48:BJ48"/>
    <mergeCell ref="BK48:BL48"/>
    <mergeCell ref="AU47:AV47"/>
    <mergeCell ref="A49:S49"/>
    <mergeCell ref="T49:U49"/>
    <mergeCell ref="V49:X49"/>
    <mergeCell ref="M46:O48"/>
    <mergeCell ref="P46:W48"/>
    <mergeCell ref="X46:Z48"/>
    <mergeCell ref="A2:G2"/>
    <mergeCell ref="AG4:BJ4"/>
    <mergeCell ref="AG3:AP3"/>
    <mergeCell ref="AQ3:BJ3"/>
    <mergeCell ref="AG2:BJ2"/>
    <mergeCell ref="H3:T4"/>
    <mergeCell ref="U2:AF2"/>
    <mergeCell ref="U3:AF3"/>
    <mergeCell ref="U4:AF4"/>
    <mergeCell ref="A4:G4"/>
    <mergeCell ref="A3:G3"/>
    <mergeCell ref="H2:T2"/>
    <mergeCell ref="AJ47:AK47"/>
    <mergeCell ref="AL47:AM47"/>
    <mergeCell ref="AN47:AR47"/>
    <mergeCell ref="AS47:AT47"/>
    <mergeCell ref="AC43:AI43"/>
    <mergeCell ref="Y49:Z49"/>
  </mergeCells>
  <phoneticPr fontId="2"/>
  <conditionalFormatting sqref="BQ20:BZ20">
    <cfRule type="expression" dxfId="0" priority="72">
      <formula>$M$19&gt;49=""</formula>
    </cfRule>
  </conditionalFormatting>
  <pageMargins left="0.35433070866141736" right="0.23622047244094491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275523-9A15-4388-AA33-12E942F14E6A}">
          <x14:formula1>
            <xm:f>入力フォームリスト!$D$1:$D$3</xm:f>
          </x14:formula1>
          <xm:sqref>BQ20:BZ20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3847-03D6-4DAC-B121-A5C9B48BFB32}">
  <dimension ref="A2:H15"/>
  <sheetViews>
    <sheetView workbookViewId="0">
      <selection activeCell="F3" sqref="F3"/>
    </sheetView>
  </sheetViews>
  <sheetFormatPr defaultRowHeight="18.75"/>
  <cols>
    <col min="1" max="1" width="20.25" customWidth="1"/>
    <col min="2" max="2" width="32.625" customWidth="1"/>
    <col min="3" max="3" width="11.125" customWidth="1"/>
    <col min="4" max="4" width="20.375" customWidth="1"/>
    <col min="5" max="5" width="22.125" customWidth="1"/>
    <col min="6" max="6" width="44.875" customWidth="1"/>
    <col min="7" max="7" width="23.5" bestFit="1" customWidth="1"/>
  </cols>
  <sheetData>
    <row r="2" spans="1:8">
      <c r="A2" t="s">
        <v>17</v>
      </c>
      <c r="B2" s="5" t="s">
        <v>3</v>
      </c>
      <c r="C2" s="5" t="s">
        <v>73</v>
      </c>
      <c r="D2" s="5" t="s">
        <v>23</v>
      </c>
      <c r="E2" t="s">
        <v>1</v>
      </c>
      <c r="F2" t="s">
        <v>204</v>
      </c>
      <c r="G2" t="s">
        <v>17</v>
      </c>
      <c r="H2" t="s">
        <v>47</v>
      </c>
    </row>
    <row r="3" spans="1:8">
      <c r="A3" t="s">
        <v>18</v>
      </c>
      <c r="B3" s="5" t="s">
        <v>4</v>
      </c>
      <c r="C3" s="5" t="s">
        <v>74</v>
      </c>
      <c r="D3" s="5" t="s">
        <v>24</v>
      </c>
      <c r="E3" t="s">
        <v>0</v>
      </c>
      <c r="F3" t="s">
        <v>31</v>
      </c>
      <c r="G3" t="s">
        <v>18</v>
      </c>
      <c r="H3" t="s">
        <v>48</v>
      </c>
    </row>
    <row r="4" spans="1:8">
      <c r="A4" t="s">
        <v>28</v>
      </c>
      <c r="B4" s="5" t="s">
        <v>5</v>
      </c>
      <c r="C4" s="5"/>
      <c r="D4" s="5"/>
      <c r="G4" t="s">
        <v>38</v>
      </c>
    </row>
    <row r="5" spans="1:8">
      <c r="A5" t="s">
        <v>29</v>
      </c>
      <c r="B5" s="5" t="s">
        <v>6</v>
      </c>
      <c r="C5" s="5"/>
      <c r="D5" s="5"/>
      <c r="G5" t="s">
        <v>40</v>
      </c>
    </row>
    <row r="6" spans="1:8">
      <c r="B6" s="5" t="s">
        <v>7</v>
      </c>
      <c r="C6" s="5"/>
      <c r="D6" s="5"/>
      <c r="G6" t="s">
        <v>41</v>
      </c>
    </row>
    <row r="7" spans="1:8">
      <c r="B7" s="5" t="s">
        <v>8</v>
      </c>
      <c r="C7" s="5"/>
      <c r="D7" s="5"/>
      <c r="G7" t="s">
        <v>42</v>
      </c>
    </row>
    <row r="8" spans="1:8">
      <c r="B8" s="5" t="s">
        <v>9</v>
      </c>
      <c r="C8" s="5"/>
      <c r="D8" s="5"/>
      <c r="G8" t="s">
        <v>43</v>
      </c>
    </row>
    <row r="9" spans="1:8">
      <c r="B9" s="5" t="s">
        <v>10</v>
      </c>
      <c r="C9" s="5"/>
      <c r="D9" s="5"/>
      <c r="G9" t="s">
        <v>29</v>
      </c>
    </row>
    <row r="10" spans="1:8">
      <c r="B10" s="5" t="s">
        <v>11</v>
      </c>
      <c r="C10" s="5"/>
      <c r="D10" s="5"/>
    </row>
    <row r="11" spans="1:8">
      <c r="B11" s="5" t="s">
        <v>12</v>
      </c>
      <c r="C11" s="5"/>
      <c r="D11" s="5"/>
    </row>
    <row r="12" spans="1:8">
      <c r="B12" s="5" t="s">
        <v>13</v>
      </c>
      <c r="C12" s="5"/>
      <c r="D12" s="5"/>
    </row>
    <row r="13" spans="1:8">
      <c r="B13" s="5" t="s">
        <v>14</v>
      </c>
      <c r="C13" s="5"/>
      <c r="D13" s="5"/>
    </row>
    <row r="14" spans="1:8">
      <c r="B14" s="5" t="s">
        <v>15</v>
      </c>
      <c r="C14" s="5"/>
      <c r="D14" s="5"/>
    </row>
    <row r="15" spans="1:8">
      <c r="B15" s="6" t="s">
        <v>16</v>
      </c>
      <c r="C15" s="6"/>
      <c r="D15" s="6"/>
    </row>
  </sheetData>
  <sheetProtection algorithmName="SHA-512" hashValue="EwrZkLqRxBpIYvrFRBcXEQblOk83sFlhN9N4vtyzbcbsvx0bErq1LcM94BuKye3uLieHsNpgVTBVUw8fehh6rg==" saltValue="8hNoise7nWbRdlMtdoGnDQ==" spinCount="100000"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DD2B-A63D-43A7-BADE-C220BFFF6A25}">
  <dimension ref="A1:E27"/>
  <sheetViews>
    <sheetView topLeftCell="A13" workbookViewId="0">
      <selection activeCell="D24" sqref="D24:D25"/>
    </sheetView>
  </sheetViews>
  <sheetFormatPr defaultColWidth="15.875" defaultRowHeight="18.75"/>
  <cols>
    <col min="1" max="1" width="22" customWidth="1"/>
    <col min="3" max="3" width="19.375" customWidth="1"/>
  </cols>
  <sheetData>
    <row r="1" spans="1:5">
      <c r="A1" t="s">
        <v>142</v>
      </c>
    </row>
    <row r="2" spans="1:5">
      <c r="A2" s="19" t="str">
        <f>IF(①入力フォーム!H38="","",①入力フォーム!H38)</f>
        <v/>
      </c>
      <c r="B2" s="19" t="s">
        <v>62</v>
      </c>
      <c r="C2" s="19" t="s">
        <v>63</v>
      </c>
      <c r="D2" s="19" t="s">
        <v>64</v>
      </c>
      <c r="E2" s="19" t="s">
        <v>65</v>
      </c>
    </row>
    <row r="3" spans="1:5">
      <c r="A3" s="19" t="s">
        <v>59</v>
      </c>
      <c r="B3" s="19">
        <f>IF(①入力フォーム!H43&lt;=500,①入力フォーム!H43,0)</f>
        <v>0</v>
      </c>
      <c r="C3" s="19">
        <f>IF(B3="","",ROUNDUP(B3/40,0))</f>
        <v>0</v>
      </c>
      <c r="D3" s="19">
        <f>IF(B3="","",ROUNDUP(B3/40,0))</f>
        <v>0</v>
      </c>
      <c r="E3" s="19" t="str">
        <f>IF($A$2="","",IF($A$2=入力フォームリスト!$E$2,計算!C3,計算!D3))</f>
        <v/>
      </c>
    </row>
    <row r="4" spans="1:5">
      <c r="A4" s="19" t="s">
        <v>60</v>
      </c>
      <c r="B4" s="19">
        <f>IF(①入力フォーム!H43&gt;500,IF(①入力フォーム!H43&lt;=5000,①入力フォーム!H43,0),0)</f>
        <v>0</v>
      </c>
      <c r="C4" s="19">
        <f>IF(B4="","",ROUNDUP(B4/20,0))</f>
        <v>0</v>
      </c>
      <c r="D4" s="19">
        <f>IF(B4="","",ROUNDUP(B4/40,0))</f>
        <v>0</v>
      </c>
      <c r="E4" s="19" t="str">
        <f>IF($A$2="","",IF($A$2=入力フォームリスト!$E$2,計算!C4,計算!D4))</f>
        <v/>
      </c>
    </row>
    <row r="5" spans="1:5">
      <c r="A5" s="302" t="s">
        <v>61</v>
      </c>
      <c r="B5" s="19">
        <f>IF(①入力フォーム!H43="",0,IF(①入力フォーム!H43&gt;5000,①入力フォーム!H43-5000,0))</f>
        <v>0</v>
      </c>
      <c r="C5" s="19">
        <f>IF(B5="","",ROUNDUP(B5/40,0))</f>
        <v>0</v>
      </c>
      <c r="D5" s="19">
        <f>IF(B5="","",ROUNDUP(B5/80,0))</f>
        <v>0</v>
      </c>
      <c r="E5" s="19" t="str">
        <f>IF($A$2="","",IF($A$2=入力フォームリスト!$E$2,計算!C5,計算!D5))</f>
        <v/>
      </c>
    </row>
    <row r="6" spans="1:5">
      <c r="A6" s="303"/>
      <c r="B6" s="19">
        <f>IF(B5=0,0,5000)</f>
        <v>0</v>
      </c>
      <c r="C6" s="19">
        <f>IF(B6="","",ROUNDUP(B6/20,0))</f>
        <v>0</v>
      </c>
      <c r="D6" s="19">
        <f>IF(B6="","",ROUNDUP(B6/40,0))</f>
        <v>0</v>
      </c>
      <c r="E6" s="19" t="str">
        <f>IF($A$2="","",IF($A$2=入力フォームリスト!$E$2,計算!C6,計算!D6))</f>
        <v/>
      </c>
    </row>
    <row r="7" spans="1:5">
      <c r="A7" s="20"/>
      <c r="B7" s="20"/>
      <c r="C7" s="21"/>
      <c r="D7" s="19" t="s">
        <v>30</v>
      </c>
      <c r="E7" s="19">
        <f>SUM(E3:E6)</f>
        <v>0</v>
      </c>
    </row>
    <row r="9" spans="1:5">
      <c r="A9" s="32" t="s">
        <v>147</v>
      </c>
      <c r="B9" s="32" t="str">
        <f>IF(①入力フォーム!H11="〇",①入力フォーム!H9,IF(①入力フォーム!I11="〇",①入力フォーム!I9,IF(①入力フォーム!J11="〇",①入力フォーム!J9,"該当しない")))</f>
        <v>該当しない</v>
      </c>
      <c r="C9" s="31"/>
    </row>
    <row r="10" spans="1:5">
      <c r="A10" s="19" t="s">
        <v>148</v>
      </c>
      <c r="B10" s="19" t="str">
        <f>IF(①入力フォーム!H37=入力フォームリスト!G2,"単身",IF(①入力フォーム!H37=入力フォームリスト!G3,"ファミリー",IF(①入力フォーム!H37=入力フォームリスト!G4,"店舗",IF(①入力フォーム!H37=入力フォームリスト!G5,"単身・ファミリー",IF(①入力フォーム!H37=入力フォームリスト!G6,"単身・店舗",IF(①入力フォーム!H37=入力フォームリスト!G7,"ファミリー・店舗",IF(①入力フォーム!H37=入力フォームリスト!G8,"単身・ファミリー・店舗","該当しない")))))))</f>
        <v>該当しない</v>
      </c>
    </row>
    <row r="11" spans="1:5">
      <c r="A11" s="31"/>
      <c r="B11" s="31"/>
    </row>
    <row r="12" spans="1:5">
      <c r="A12" s="19"/>
      <c r="B12" s="19"/>
      <c r="C12" s="19" t="s">
        <v>152</v>
      </c>
      <c r="D12" s="19" t="s">
        <v>153</v>
      </c>
    </row>
    <row r="13" spans="1:5">
      <c r="A13" s="19" t="s">
        <v>149</v>
      </c>
      <c r="B13" s="19">
        <f>①入力フォーム!H7</f>
        <v>0</v>
      </c>
      <c r="C13" s="19" t="str">
        <f>IF(B13=0,"無","有")</f>
        <v>無</v>
      </c>
      <c r="D13" s="19" t="str">
        <f>IF(B13&gt;2000,"2,000㎡を超える",IF(B13=0,"該当しない","2000㎡超えない"))</f>
        <v>該当しない</v>
      </c>
    </row>
    <row r="14" spans="1:5">
      <c r="A14" s="19" t="s">
        <v>150</v>
      </c>
      <c r="B14" s="19">
        <f>①入力フォーム!H8</f>
        <v>0</v>
      </c>
      <c r="C14" s="19" t="str">
        <f>IF(B14=0,"無","有")</f>
        <v>無</v>
      </c>
      <c r="D14" s="19" t="str">
        <f>IF(B14&gt;1000,"1,000㎡を超える","1000㎡超えない")</f>
        <v>1000㎡超えない</v>
      </c>
    </row>
    <row r="15" spans="1:5">
      <c r="A15" s="19" t="s">
        <v>151</v>
      </c>
      <c r="B15" s="19">
        <f>IF(B13=0,0,IF(B14=0,0,B13*0.5+B14))</f>
        <v>0</v>
      </c>
      <c r="C15" s="19" t="str">
        <f>IF(B15=0,"無","有")</f>
        <v>無</v>
      </c>
      <c r="D15" s="19" t="str">
        <f>IF(B15&gt;1000,"1,000㎡を超える",IF(B15=0,"該当しない","1000㎡超えない"))</f>
        <v>該当しない</v>
      </c>
    </row>
    <row r="16" spans="1:5">
      <c r="A16" s="31"/>
      <c r="B16" s="31"/>
      <c r="C16" s="31"/>
      <c r="D16" s="31"/>
    </row>
    <row r="17" spans="1:4">
      <c r="A17" s="31"/>
      <c r="B17" s="31"/>
      <c r="C17" s="31"/>
      <c r="D17" s="31"/>
    </row>
    <row r="18" spans="1:4">
      <c r="A18" s="33" t="s">
        <v>160</v>
      </c>
      <c r="B18" s="19" t="s">
        <v>33</v>
      </c>
      <c r="C18" s="19" t="s">
        <v>22</v>
      </c>
      <c r="D18" s="35" t="s">
        <v>161</v>
      </c>
    </row>
    <row r="19" spans="1:4">
      <c r="A19" s="19" t="s">
        <v>156</v>
      </c>
      <c r="B19" s="304">
        <f>①入力フォーム!J13</f>
        <v>0</v>
      </c>
      <c r="C19" s="19">
        <f>IF(①入力フォーム!H29="不要",0,1)</f>
        <v>0</v>
      </c>
      <c r="D19" s="304">
        <f>IF(B19&gt;=C19+C20,B19,C19+C20)</f>
        <v>0</v>
      </c>
    </row>
    <row r="20" spans="1:4">
      <c r="A20" s="19" t="s">
        <v>157</v>
      </c>
      <c r="B20" s="304"/>
      <c r="C20" s="19">
        <f>IF(①入力フォーム!I29="不要",0,1)</f>
        <v>0</v>
      </c>
      <c r="D20" s="304"/>
    </row>
    <row r="22" spans="1:4">
      <c r="A22" s="304" t="s">
        <v>162</v>
      </c>
      <c r="B22" s="307" t="s">
        <v>172</v>
      </c>
      <c r="C22" s="304" t="s">
        <v>22</v>
      </c>
      <c r="D22" s="304"/>
    </row>
    <row r="23" spans="1:4">
      <c r="A23" s="304"/>
      <c r="B23" s="304"/>
      <c r="C23" s="34" t="s">
        <v>163</v>
      </c>
      <c r="D23" s="34" t="s">
        <v>164</v>
      </c>
    </row>
    <row r="24" spans="1:4">
      <c r="A24" s="34" t="s">
        <v>34</v>
      </c>
      <c r="B24" s="34">
        <f>①入力フォーム!H39</f>
        <v>0</v>
      </c>
      <c r="C24" s="304">
        <f>IF(B24+B25&gt;=1,1,0)</f>
        <v>0</v>
      </c>
      <c r="D24" s="305"/>
    </row>
    <row r="25" spans="1:4">
      <c r="A25" s="34" t="s">
        <v>165</v>
      </c>
      <c r="B25" s="34">
        <f>①入力フォーム!H40</f>
        <v>0</v>
      </c>
      <c r="C25" s="304"/>
      <c r="D25" s="306"/>
    </row>
    <row r="26" spans="1:4">
      <c r="A26" s="34" t="s">
        <v>166</v>
      </c>
      <c r="B26" s="34">
        <f>IF(①入力フォーム!H41="",0,1)</f>
        <v>0</v>
      </c>
      <c r="C26" s="34">
        <f>B26</f>
        <v>0</v>
      </c>
      <c r="D26" s="34">
        <f>IF(C26=1,1,0)</f>
        <v>0</v>
      </c>
    </row>
    <row r="27" spans="1:4">
      <c r="B27" s="19" t="s">
        <v>30</v>
      </c>
      <c r="C27" s="19">
        <f>SUM(C24:C26)</f>
        <v>0</v>
      </c>
      <c r="D27" s="19">
        <f>D26</f>
        <v>0</v>
      </c>
    </row>
  </sheetData>
  <sheetProtection algorithmName="SHA-512" hashValue="vrF6rKbw/JYlN5jqGshch6m3TBQEfZc3l3OFv+NCSvh7D/ddmFIxFR27FlimJn3qeFbruxN9fRF6LUd27xck5A==" saltValue="s27ukpkMcYT7XsiPF4R61A==" spinCount="100000" sheet="1" objects="1" scenarios="1"/>
  <mergeCells count="8">
    <mergeCell ref="A5:A6"/>
    <mergeCell ref="B19:B20"/>
    <mergeCell ref="C24:C25"/>
    <mergeCell ref="D24:D25"/>
    <mergeCell ref="D19:D20"/>
    <mergeCell ref="C22:D22"/>
    <mergeCell ref="A22:A23"/>
    <mergeCell ref="B22:B2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①入力フォーム</vt:lpstr>
      <vt:lpstr>②提出書類(①入力後、印刷して防犯交通安全課に提出）</vt:lpstr>
      <vt:lpstr>入力フォームリスト</vt:lpstr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</dc:creator>
  <cp:lastModifiedBy>橋本</cp:lastModifiedBy>
  <cp:lastPrinted>2026-01-26T06:49:52Z</cp:lastPrinted>
  <dcterms:created xsi:type="dcterms:W3CDTF">2026-01-15T04:10:50Z</dcterms:created>
  <dcterms:modified xsi:type="dcterms:W3CDTF">2026-01-27T05:40:56Z</dcterms:modified>
</cp:coreProperties>
</file>