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defaultThemeVersion="124226"/>
  <mc:AlternateContent xmlns:mc="http://schemas.openxmlformats.org/markup-compatibility/2006">
    <mc:Choice Requires="x15">
      <x15ac:absPath xmlns:x15ac="http://schemas.microsoft.com/office/spreadsheetml/2010/11/ac" url="K:\0902000_国民健康保険課（国保）\A080_資格グループ\B030_賦課業務\049試算\令和8年度以降\202604修正\"/>
    </mc:Choice>
  </mc:AlternateContent>
  <xr:revisionPtr revIDLastSave="0" documentId="13_ncr:1_{4B3CE1FD-9F88-4526-A690-EA25AA027D96}" xr6:coauthVersionLast="47" xr6:coauthVersionMax="47" xr10:uidLastSave="{00000000-0000-0000-0000-000000000000}"/>
  <workbookProtection workbookAlgorithmName="SHA-512" workbookHashValue="IhpRsZU1/JQtOALt05N02rryJmT1/Iqq21yLFgnJgl7QVwXuXIVdakmuUToTHMCXBU5d8bmz+mKGzo/L4pAAVQ==" workbookSaltValue="qciSM7hABg6DLZdm6tSQFg==" workbookSpinCount="100000" lockStructure="1"/>
  <bookViews>
    <workbookView xWindow="1530" yWindow="1320" windowWidth="21450" windowHeight="14250" xr2:uid="{00000000-000D-0000-FFFF-FFFF00000000}"/>
  </bookViews>
  <sheets>
    <sheet name="はじめに" sheetId="14" r:id="rId1"/>
    <sheet name="収入・所得の入力について" sheetId="11" r:id="rId2"/>
    <sheet name="入力シート" sheetId="4" r:id="rId3"/>
    <sheet name="はじめに（元データ）" sheetId="12" state="hidden" r:id="rId4"/>
    <sheet name="所得の入力について（元データ）" sheetId="13" state="hidden" r:id="rId5"/>
    <sheet name="印刷シート" sheetId="10" state="hidden" r:id="rId6"/>
    <sheet name="国保計算" sheetId="7" state="hidden" r:id="rId7"/>
    <sheet name="給与計算ｼｰﾄ" sheetId="2" state="hidden" r:id="rId8"/>
    <sheet name="給与所得速算表" sheetId="1" state="hidden" r:id="rId9"/>
    <sheet name="年金計算ｼｰﾄ" sheetId="6" state="hidden" r:id="rId10"/>
    <sheet name="ｴﾗｰﾁｪｯｸ" sheetId="9" state="hidden" r:id="rId11"/>
    <sheet name="年金所得速算表" sheetId="5" state="hidden" r:id="rId12"/>
  </sheets>
  <definedNames>
    <definedName name="_xlnm.Print_Area" localSheetId="5">印刷シート!$B$1:$J$39</definedName>
    <definedName name="_xlnm.Print_Area" localSheetId="1">収入・所得の入力について!$P$1:$P$101</definedName>
    <definedName name="_xlnm.Print_Area" localSheetId="2">入力シート!$A$1:$K$44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4" i="4" l="1"/>
  <c r="B113" i="11"/>
  <c r="H109" i="11"/>
  <c r="B45" i="14"/>
  <c r="D10" i="4"/>
  <c r="E9" i="4" a="1"/>
  <c r="E9" i="4" s="1"/>
  <c r="D9" i="7" s="1"/>
  <c r="D3" i="7" s="1"/>
  <c r="D9" i="4" a="1"/>
  <c r="D9" i="4" s="1"/>
  <c r="C9" i="7" s="1"/>
  <c r="F9" i="4" a="1"/>
  <c r="F9" i="4" s="1"/>
  <c r="E1" i="7" s="1"/>
  <c r="G9" i="4" a="1"/>
  <c r="G9" i="4"/>
  <c r="F1" i="7" s="1"/>
  <c r="F7" i="7" s="1"/>
  <c r="H9" i="4" a="1"/>
  <c r="H9" i="4" s="1"/>
  <c r="E10" i="4"/>
  <c r="H10" i="4"/>
  <c r="G10" i="4"/>
  <c r="F10" i="4"/>
  <c r="E14" i="4"/>
  <c r="D14" i="7" s="1"/>
  <c r="F14" i="4"/>
  <c r="E9" i="10" s="1"/>
  <c r="I14" i="4"/>
  <c r="D10" i="1"/>
  <c r="C11" i="2" s="1"/>
  <c r="D11" i="2" s="1"/>
  <c r="C13" i="7"/>
  <c r="C6" i="7"/>
  <c r="D7" i="4"/>
  <c r="E7" i="4"/>
  <c r="F7" i="4"/>
  <c r="G7" i="4"/>
  <c r="H7" i="4"/>
  <c r="D12" i="2"/>
  <c r="C12" i="2"/>
  <c r="K12" i="2"/>
  <c r="L12" i="2"/>
  <c r="J12" i="2"/>
  <c r="I12" i="2"/>
  <c r="G12" i="2"/>
  <c r="H12" i="2"/>
  <c r="F12" i="2"/>
  <c r="E12" i="2"/>
  <c r="G5" i="10"/>
  <c r="F5" i="10"/>
  <c r="E5" i="10"/>
  <c r="D5" i="10"/>
  <c r="C5" i="10"/>
  <c r="I7" i="10"/>
  <c r="C2" i="10"/>
  <c r="C6" i="10"/>
  <c r="C11" i="7"/>
  <c r="G6" i="5"/>
  <c r="G4" i="10"/>
  <c r="F4" i="10"/>
  <c r="E4" i="10"/>
  <c r="D4" i="10"/>
  <c r="C4" i="10"/>
  <c r="H10" i="1"/>
  <c r="K7" i="2" s="1"/>
  <c r="L7" i="2" s="1"/>
  <c r="K8" i="2"/>
  <c r="L8" i="2" s="1"/>
  <c r="G10" i="1"/>
  <c r="I9" i="2" s="1"/>
  <c r="J9" i="2" s="1"/>
  <c r="F10" i="1"/>
  <c r="E10" i="1"/>
  <c r="E7" i="2" s="1"/>
  <c r="F7" i="2" s="1"/>
  <c r="C15" i="7"/>
  <c r="H6" i="5"/>
  <c r="D15" i="7"/>
  <c r="I6" i="5"/>
  <c r="E15" i="7"/>
  <c r="J6" i="5"/>
  <c r="F15" i="7"/>
  <c r="K6" i="5"/>
  <c r="G15" i="7"/>
  <c r="D6" i="7"/>
  <c r="E6" i="7"/>
  <c r="F6" i="7"/>
  <c r="G6" i="7"/>
  <c r="G8" i="5"/>
  <c r="H8" i="5"/>
  <c r="I8" i="5"/>
  <c r="C16" i="7"/>
  <c r="E16" i="7"/>
  <c r="J8" i="5"/>
  <c r="K8" i="5"/>
  <c r="D16" i="7"/>
  <c r="F16" i="7"/>
  <c r="G16" i="7"/>
  <c r="E4" i="9"/>
  <c r="C4" i="9"/>
  <c r="E3" i="9"/>
  <c r="C3" i="9"/>
  <c r="F3" i="9" s="1"/>
  <c r="F22" i="9" s="1"/>
  <c r="E5" i="9"/>
  <c r="C5" i="9"/>
  <c r="E6" i="9"/>
  <c r="C6" i="9"/>
  <c r="F6" i="9" s="1"/>
  <c r="G6" i="9" s="1"/>
  <c r="E7" i="9"/>
  <c r="F7" i="9" s="1"/>
  <c r="C7" i="9"/>
  <c r="I3" i="10"/>
  <c r="D11" i="10"/>
  <c r="E11" i="10"/>
  <c r="F11" i="10"/>
  <c r="G11" i="10"/>
  <c r="D10" i="10"/>
  <c r="E10" i="10"/>
  <c r="F10" i="10"/>
  <c r="G10" i="10"/>
  <c r="D8" i="10"/>
  <c r="E8" i="10"/>
  <c r="F8" i="10"/>
  <c r="G8" i="10"/>
  <c r="D6" i="10"/>
  <c r="E6" i="10"/>
  <c r="F6" i="10"/>
  <c r="G6" i="10"/>
  <c r="C8" i="10"/>
  <c r="C10" i="10"/>
  <c r="C11" i="10"/>
  <c r="G13" i="7"/>
  <c r="F13" i="7"/>
  <c r="E13" i="7"/>
  <c r="D13" i="7"/>
  <c r="D11" i="7"/>
  <c r="E11" i="7"/>
  <c r="F11" i="7"/>
  <c r="G11" i="7"/>
  <c r="B15" i="6"/>
  <c r="C15" i="6"/>
  <c r="D15" i="6"/>
  <c r="B6" i="6"/>
  <c r="C10" i="6"/>
  <c r="D10" i="6"/>
  <c r="C9" i="6"/>
  <c r="D9" i="6"/>
  <c r="C11" i="6"/>
  <c r="D11" i="6"/>
  <c r="C7" i="6"/>
  <c r="D7" i="6"/>
  <c r="C8" i="6"/>
  <c r="D8" i="6"/>
  <c r="C6" i="6"/>
  <c r="D6" i="6"/>
  <c r="C16" i="6"/>
  <c r="D16" i="6"/>
  <c r="C17" i="6"/>
  <c r="D17" i="6"/>
  <c r="C20" i="6"/>
  <c r="D20" i="6"/>
  <c r="C18" i="6"/>
  <c r="D18" i="6"/>
  <c r="H16" i="10"/>
  <c r="E16" i="10"/>
  <c r="D16" i="10"/>
  <c r="D12" i="6"/>
  <c r="D21" i="6"/>
  <c r="C19" i="6"/>
  <c r="D19" i="6"/>
  <c r="D10" i="5"/>
  <c r="G17" i="2"/>
  <c r="H17" i="2"/>
  <c r="I12" i="4"/>
  <c r="D14" i="4"/>
  <c r="C9" i="10" s="1"/>
  <c r="E14" i="7"/>
  <c r="K11" i="2"/>
  <c r="L11" i="2" s="1"/>
  <c r="G8" i="2"/>
  <c r="H8" i="2" s="1"/>
  <c r="K10" i="2"/>
  <c r="L10" i="2" s="1"/>
  <c r="K17" i="2"/>
  <c r="L17" i="2" s="1"/>
  <c r="K9" i="2"/>
  <c r="L9" i="2"/>
  <c r="C7" i="2"/>
  <c r="D7" i="2" s="1"/>
  <c r="C17" i="2"/>
  <c r="D17" i="2" s="1"/>
  <c r="C9" i="2"/>
  <c r="D9" i="2" s="1"/>
  <c r="C1" i="7"/>
  <c r="C7" i="7" s="1"/>
  <c r="F9" i="7"/>
  <c r="F26" i="7" s="1"/>
  <c r="F27" i="7" s="1"/>
  <c r="E9" i="7"/>
  <c r="G9" i="2"/>
  <c r="H9" i="2" s="1"/>
  <c r="G11" i="2"/>
  <c r="H11" i="2" s="1"/>
  <c r="E7" i="7"/>
  <c r="C5" i="7"/>
  <c r="D2" i="7" l="1"/>
  <c r="C14" i="7"/>
  <c r="C10" i="2"/>
  <c r="D10" i="2" s="1"/>
  <c r="D22" i="2" s="1"/>
  <c r="C8" i="2"/>
  <c r="D8" i="2" s="1"/>
  <c r="E17" i="2"/>
  <c r="F17" i="2" s="1"/>
  <c r="E8" i="2"/>
  <c r="F8" i="2" s="1"/>
  <c r="D26" i="7"/>
  <c r="D27" i="7" s="1"/>
  <c r="D1" i="7"/>
  <c r="D7" i="7" s="1"/>
  <c r="F4" i="9"/>
  <c r="G4" i="9" s="1"/>
  <c r="G1" i="7"/>
  <c r="G7" i="7" s="1"/>
  <c r="H7" i="7" s="1"/>
  <c r="E25" i="4" s="1"/>
  <c r="F25" i="4" s="1"/>
  <c r="G39" i="4" s="1"/>
  <c r="G9" i="7"/>
  <c r="E9" i="2"/>
  <c r="F9" i="2" s="1"/>
  <c r="F3" i="7"/>
  <c r="F5" i="9"/>
  <c r="G5" i="9" s="1"/>
  <c r="H6" i="7"/>
  <c r="G4" i="7"/>
  <c r="G7" i="2"/>
  <c r="H7" i="2" s="1"/>
  <c r="G10" i="2"/>
  <c r="H10" i="2" s="1"/>
  <c r="E3" i="7"/>
  <c r="E26" i="7"/>
  <c r="E27" i="7" s="1"/>
  <c r="D9" i="10"/>
  <c r="I17" i="2"/>
  <c r="J17" i="2" s="1"/>
  <c r="I8" i="2"/>
  <c r="J8" i="2" s="1"/>
  <c r="I7" i="2"/>
  <c r="J7" i="2" s="1"/>
  <c r="G26" i="7"/>
  <c r="G27" i="7" s="1"/>
  <c r="G3" i="7"/>
  <c r="G7" i="9"/>
  <c r="L22" i="2"/>
  <c r="E4" i="7"/>
  <c r="E5" i="7"/>
  <c r="C4" i="7"/>
  <c r="C3" i="7"/>
  <c r="C26" i="7"/>
  <c r="F5" i="7"/>
  <c r="I11" i="2"/>
  <c r="J11" i="2" s="1"/>
  <c r="G3" i="9"/>
  <c r="I10" i="2"/>
  <c r="J10" i="2" s="1"/>
  <c r="E11" i="2"/>
  <c r="F11" i="2" s="1"/>
  <c r="E10" i="2"/>
  <c r="F10" i="2" s="1"/>
  <c r="F4" i="7"/>
  <c r="F22" i="2" l="1"/>
  <c r="D18" i="7" s="1"/>
  <c r="D4" i="7"/>
  <c r="H4" i="7" s="1"/>
  <c r="E24" i="4" s="1"/>
  <c r="D5" i="7"/>
  <c r="G5" i="7"/>
  <c r="H5" i="7" s="1"/>
  <c r="E23" i="4" s="1"/>
  <c r="H1" i="7"/>
  <c r="E22" i="4" s="1"/>
  <c r="F22" i="4" s="1"/>
  <c r="J22" i="2"/>
  <c r="H22" i="2"/>
  <c r="E2" i="7"/>
  <c r="C27" i="7"/>
  <c r="D24" i="4" s="1"/>
  <c r="C24" i="4"/>
  <c r="B18" i="10" s="1"/>
  <c r="L23" i="2"/>
  <c r="K25" i="2"/>
  <c r="G18" i="7"/>
  <c r="D23" i="2"/>
  <c r="C25" i="2"/>
  <c r="C18" i="7"/>
  <c r="C2" i="7"/>
  <c r="H3" i="7"/>
  <c r="F23" i="2" l="1"/>
  <c r="E25" i="2"/>
  <c r="F17" i="10"/>
  <c r="F23" i="4"/>
  <c r="G17" i="10" s="1"/>
  <c r="F16" i="10"/>
  <c r="G6" i="6"/>
  <c r="G16" i="6"/>
  <c r="G35" i="6"/>
  <c r="G25" i="6"/>
  <c r="G54" i="6"/>
  <c r="G44" i="6"/>
  <c r="F38" i="4"/>
  <c r="C18" i="10"/>
  <c r="S16" i="6"/>
  <c r="S44" i="6"/>
  <c r="S35" i="6"/>
  <c r="S25" i="6"/>
  <c r="S54" i="6"/>
  <c r="S6" i="6"/>
  <c r="E18" i="7"/>
  <c r="H23" i="2"/>
  <c r="G25" i="2"/>
  <c r="J44" i="6"/>
  <c r="J25" i="6"/>
  <c r="J16" i="6"/>
  <c r="J35" i="6"/>
  <c r="J6" i="6"/>
  <c r="J54" i="6"/>
  <c r="D39" i="4"/>
  <c r="G16" i="10"/>
  <c r="F18" i="10"/>
  <c r="F24" i="4"/>
  <c r="G24" i="4" s="1"/>
  <c r="I8" i="10"/>
  <c r="F18" i="7"/>
  <c r="I25" i="2"/>
  <c r="J23" i="2"/>
  <c r="E39" i="4" l="1"/>
  <c r="H6" i="6"/>
  <c r="I6" i="6" s="1"/>
  <c r="H9" i="6"/>
  <c r="I9" i="6" s="1"/>
  <c r="H8" i="6"/>
  <c r="I8" i="6" s="1"/>
  <c r="H7" i="6"/>
  <c r="I7" i="6" s="1"/>
  <c r="H10" i="6"/>
  <c r="I10" i="6" s="1"/>
  <c r="H11" i="6"/>
  <c r="I11" i="6" s="1"/>
  <c r="T54" i="6"/>
  <c r="U54" i="6" s="1"/>
  <c r="T59" i="6"/>
  <c r="U59" i="6" s="1"/>
  <c r="T55" i="6"/>
  <c r="U55" i="6" s="1"/>
  <c r="T56" i="6"/>
  <c r="U56" i="6" s="1"/>
  <c r="T57" i="6"/>
  <c r="U57" i="6" s="1"/>
  <c r="T58" i="6"/>
  <c r="U58" i="6" s="1"/>
  <c r="K29" i="6"/>
  <c r="L29" i="6" s="1"/>
  <c r="K25" i="6"/>
  <c r="L25" i="6" s="1"/>
  <c r="K30" i="6"/>
  <c r="L30" i="6" s="1"/>
  <c r="K28" i="6"/>
  <c r="L28" i="6" s="1"/>
  <c r="K27" i="6"/>
  <c r="L27" i="6" s="1"/>
  <c r="K26" i="6"/>
  <c r="L26" i="6" s="1"/>
  <c r="T28" i="6"/>
  <c r="U28" i="6" s="1"/>
  <c r="T30" i="6"/>
  <c r="U30" i="6" s="1"/>
  <c r="T25" i="6"/>
  <c r="U25" i="6" s="1"/>
  <c r="T26" i="6"/>
  <c r="U26" i="6" s="1"/>
  <c r="T27" i="6"/>
  <c r="U27" i="6" s="1"/>
  <c r="T29" i="6"/>
  <c r="U29" i="6" s="1"/>
  <c r="K48" i="6"/>
  <c r="L48" i="6" s="1"/>
  <c r="K45" i="6"/>
  <c r="L45" i="6" s="1"/>
  <c r="K44" i="6"/>
  <c r="L44" i="6" s="1"/>
  <c r="K46" i="6"/>
  <c r="L46" i="6" s="1"/>
  <c r="K49" i="6"/>
  <c r="L49" i="6" s="1"/>
  <c r="K47" i="6"/>
  <c r="L47" i="6" s="1"/>
  <c r="T35" i="6"/>
  <c r="U35" i="6" s="1"/>
  <c r="T36" i="6"/>
  <c r="U36" i="6" s="1"/>
  <c r="T37" i="6"/>
  <c r="U37" i="6" s="1"/>
  <c r="T38" i="6"/>
  <c r="U38" i="6" s="1"/>
  <c r="T40" i="6"/>
  <c r="U40" i="6" s="1"/>
  <c r="T39" i="6"/>
  <c r="U39" i="6" s="1"/>
  <c r="H47" i="6"/>
  <c r="I47" i="6" s="1"/>
  <c r="H49" i="6"/>
  <c r="I49" i="6" s="1"/>
  <c r="H46" i="6"/>
  <c r="I46" i="6" s="1"/>
  <c r="H48" i="6"/>
  <c r="I48" i="6" s="1"/>
  <c r="H45" i="6"/>
  <c r="I45" i="6" s="1"/>
  <c r="H44" i="6"/>
  <c r="I44" i="6" s="1"/>
  <c r="K38" i="6"/>
  <c r="L38" i="6" s="1"/>
  <c r="K40" i="6"/>
  <c r="L40" i="6" s="1"/>
  <c r="K36" i="6"/>
  <c r="L36" i="6" s="1"/>
  <c r="K39" i="6"/>
  <c r="L39" i="6" s="1"/>
  <c r="K37" i="6"/>
  <c r="L37" i="6" s="1"/>
  <c r="K35" i="6"/>
  <c r="L35" i="6" s="1"/>
  <c r="I18" i="10"/>
  <c r="F40" i="4"/>
  <c r="H24" i="4"/>
  <c r="I24" i="4" s="1"/>
  <c r="K21" i="6"/>
  <c r="L21" i="6" s="1"/>
  <c r="K18" i="6"/>
  <c r="L18" i="6" s="1"/>
  <c r="K17" i="6"/>
  <c r="L17" i="6" s="1"/>
  <c r="K16" i="6"/>
  <c r="L16" i="6" s="1"/>
  <c r="K20" i="6"/>
  <c r="L20" i="6" s="1"/>
  <c r="K19" i="6"/>
  <c r="L19" i="6" s="1"/>
  <c r="T47" i="6"/>
  <c r="U47" i="6" s="1"/>
  <c r="T46" i="6"/>
  <c r="U46" i="6" s="1"/>
  <c r="T49" i="6"/>
  <c r="U49" i="6" s="1"/>
  <c r="T48" i="6"/>
  <c r="U48" i="6" s="1"/>
  <c r="T44" i="6"/>
  <c r="U44" i="6" s="1"/>
  <c r="T45" i="6"/>
  <c r="U45" i="6" s="1"/>
  <c r="P44" i="6"/>
  <c r="P16" i="6"/>
  <c r="P25" i="6"/>
  <c r="P54" i="6"/>
  <c r="P6" i="6"/>
  <c r="P35" i="6"/>
  <c r="T21" i="6"/>
  <c r="U21" i="6" s="1"/>
  <c r="T19" i="6"/>
  <c r="U19" i="6" s="1"/>
  <c r="T18" i="6"/>
  <c r="U18" i="6" s="1"/>
  <c r="T20" i="6"/>
  <c r="U20" i="6" s="1"/>
  <c r="T17" i="6"/>
  <c r="U17" i="6" s="1"/>
  <c r="T16" i="6"/>
  <c r="U16" i="6" s="1"/>
  <c r="H27" i="6"/>
  <c r="I27" i="6" s="1"/>
  <c r="H29" i="6"/>
  <c r="I29" i="6" s="1"/>
  <c r="H26" i="6"/>
  <c r="I26" i="6" s="1"/>
  <c r="H28" i="6"/>
  <c r="I28" i="6" s="1"/>
  <c r="H30" i="6"/>
  <c r="I30" i="6" s="1"/>
  <c r="H25" i="6"/>
  <c r="I25" i="6" s="1"/>
  <c r="K59" i="6"/>
  <c r="L59" i="6" s="1"/>
  <c r="K57" i="6"/>
  <c r="L57" i="6" s="1"/>
  <c r="K56" i="6"/>
  <c r="L56" i="6" s="1"/>
  <c r="K58" i="6"/>
  <c r="L58" i="6" s="1"/>
  <c r="K55" i="6"/>
  <c r="L55" i="6" s="1"/>
  <c r="K54" i="6"/>
  <c r="L54" i="6" s="1"/>
  <c r="H35" i="6"/>
  <c r="I35" i="6" s="1"/>
  <c r="H36" i="6"/>
  <c r="I36" i="6" s="1"/>
  <c r="H39" i="6"/>
  <c r="I39" i="6" s="1"/>
  <c r="H40" i="6"/>
  <c r="I40" i="6" s="1"/>
  <c r="H37" i="6"/>
  <c r="I37" i="6" s="1"/>
  <c r="H38" i="6"/>
  <c r="I38" i="6" s="1"/>
  <c r="T7" i="6"/>
  <c r="U7" i="6" s="1"/>
  <c r="T9" i="6"/>
  <c r="U9" i="6" s="1"/>
  <c r="T11" i="6"/>
  <c r="U11" i="6" s="1"/>
  <c r="T10" i="6"/>
  <c r="U10" i="6" s="1"/>
  <c r="T6" i="6"/>
  <c r="U6" i="6" s="1"/>
  <c r="T8" i="6"/>
  <c r="U8" i="6" s="1"/>
  <c r="F39" i="4"/>
  <c r="G18" i="10"/>
  <c r="H59" i="6"/>
  <c r="I59" i="6" s="1"/>
  <c r="H54" i="6"/>
  <c r="I54" i="6" s="1"/>
  <c r="H58" i="6"/>
  <c r="I58" i="6" s="1"/>
  <c r="H55" i="6"/>
  <c r="I55" i="6" s="1"/>
  <c r="H57" i="6"/>
  <c r="I57" i="6" s="1"/>
  <c r="H56" i="6"/>
  <c r="I56" i="6" s="1"/>
  <c r="K10" i="6"/>
  <c r="L10" i="6" s="1"/>
  <c r="K9" i="6"/>
  <c r="L9" i="6" s="1"/>
  <c r="K6" i="6"/>
  <c r="L6" i="6" s="1"/>
  <c r="K8" i="6"/>
  <c r="L8" i="6" s="1"/>
  <c r="K11" i="6"/>
  <c r="L11" i="6" s="1"/>
  <c r="K7" i="6"/>
  <c r="L7" i="6" s="1"/>
  <c r="M25" i="6"/>
  <c r="M6" i="6"/>
  <c r="M16" i="6"/>
  <c r="M44" i="6"/>
  <c r="M54" i="6"/>
  <c r="M35" i="6"/>
  <c r="H21" i="6"/>
  <c r="I21" i="6" s="1"/>
  <c r="H18" i="6"/>
  <c r="I18" i="6" s="1"/>
  <c r="H17" i="6"/>
  <c r="I17" i="6" s="1"/>
  <c r="H20" i="6"/>
  <c r="I20" i="6" s="1"/>
  <c r="H19" i="6"/>
  <c r="I19" i="6" s="1"/>
  <c r="H16" i="6"/>
  <c r="I16" i="6" s="1"/>
  <c r="I41" i="6" l="1"/>
  <c r="U60" i="6"/>
  <c r="L12" i="6"/>
  <c r="U50" i="6"/>
  <c r="I12" i="6"/>
  <c r="C23" i="10"/>
  <c r="F42" i="4"/>
  <c r="I22" i="6"/>
  <c r="N44" i="6"/>
  <c r="O44" i="6" s="1"/>
  <c r="N46" i="6"/>
  <c r="O46" i="6" s="1"/>
  <c r="N45" i="6"/>
  <c r="O45" i="6" s="1"/>
  <c r="N47" i="6"/>
  <c r="O47" i="6" s="1"/>
  <c r="N49" i="6"/>
  <c r="O49" i="6" s="1"/>
  <c r="N48" i="6"/>
  <c r="O48" i="6" s="1"/>
  <c r="Q38" i="6"/>
  <c r="R38" i="6" s="1"/>
  <c r="Q35" i="6"/>
  <c r="R35" i="6" s="1"/>
  <c r="Q37" i="6"/>
  <c r="R37" i="6" s="1"/>
  <c r="Q36" i="6"/>
  <c r="R36" i="6" s="1"/>
  <c r="Q39" i="6"/>
  <c r="R39" i="6" s="1"/>
  <c r="Q40" i="6"/>
  <c r="R40" i="6" s="1"/>
  <c r="L22" i="6"/>
  <c r="L41" i="6"/>
  <c r="U41" i="6"/>
  <c r="N7" i="6"/>
  <c r="O7" i="6" s="1"/>
  <c r="N10" i="6"/>
  <c r="O10" i="6" s="1"/>
  <c r="N9" i="6"/>
  <c r="O9" i="6" s="1"/>
  <c r="N8" i="6"/>
  <c r="O8" i="6" s="1"/>
  <c r="N6" i="6"/>
  <c r="O6" i="6" s="1"/>
  <c r="N11" i="6"/>
  <c r="O11" i="6" s="1"/>
  <c r="Q55" i="6"/>
  <c r="R55" i="6" s="1"/>
  <c r="Q58" i="6"/>
  <c r="R58" i="6" s="1"/>
  <c r="Q56" i="6"/>
  <c r="R56" i="6" s="1"/>
  <c r="Q54" i="6"/>
  <c r="R54" i="6" s="1"/>
  <c r="Q57" i="6"/>
  <c r="R57" i="6" s="1"/>
  <c r="Q59" i="6"/>
  <c r="R59" i="6" s="1"/>
  <c r="L31" i="6"/>
  <c r="N58" i="6"/>
  <c r="O58" i="6" s="1"/>
  <c r="N59" i="6"/>
  <c r="O59" i="6" s="1"/>
  <c r="N56" i="6"/>
  <c r="O56" i="6" s="1"/>
  <c r="N55" i="6"/>
  <c r="O55" i="6" s="1"/>
  <c r="N57" i="6"/>
  <c r="O57" i="6" s="1"/>
  <c r="N54" i="6"/>
  <c r="O54" i="6" s="1"/>
  <c r="N17" i="6"/>
  <c r="O17" i="6" s="1"/>
  <c r="N20" i="6"/>
  <c r="O20" i="6" s="1"/>
  <c r="N21" i="6"/>
  <c r="O21" i="6" s="1"/>
  <c r="N18" i="6"/>
  <c r="O18" i="6" s="1"/>
  <c r="N19" i="6"/>
  <c r="O19" i="6" s="1"/>
  <c r="N16" i="6"/>
  <c r="O16" i="6" s="1"/>
  <c r="U22" i="6"/>
  <c r="N27" i="6"/>
  <c r="O27" i="6" s="1"/>
  <c r="N26" i="6"/>
  <c r="O26" i="6" s="1"/>
  <c r="N29" i="6"/>
  <c r="O29" i="6" s="1"/>
  <c r="N25" i="6"/>
  <c r="O25" i="6" s="1"/>
  <c r="N30" i="6"/>
  <c r="O30" i="6" s="1"/>
  <c r="N28" i="6"/>
  <c r="O28" i="6" s="1"/>
  <c r="U12" i="6"/>
  <c r="Q27" i="6"/>
  <c r="R27" i="6" s="1"/>
  <c r="Q29" i="6"/>
  <c r="R29" i="6" s="1"/>
  <c r="Q26" i="6"/>
  <c r="R26" i="6" s="1"/>
  <c r="Q30" i="6"/>
  <c r="R30" i="6" s="1"/>
  <c r="Q25" i="6"/>
  <c r="R25" i="6" s="1"/>
  <c r="Q28" i="6"/>
  <c r="R28" i="6" s="1"/>
  <c r="U31" i="6"/>
  <c r="Q10" i="6"/>
  <c r="R10" i="6" s="1"/>
  <c r="Q6" i="6"/>
  <c r="R6" i="6" s="1"/>
  <c r="Q9" i="6"/>
  <c r="R9" i="6" s="1"/>
  <c r="Q7" i="6"/>
  <c r="R7" i="6" s="1"/>
  <c r="Q11" i="6"/>
  <c r="R11" i="6" s="1"/>
  <c r="Q8" i="6"/>
  <c r="R8" i="6" s="1"/>
  <c r="I31" i="6"/>
  <c r="Q18" i="6"/>
  <c r="R18" i="6" s="1"/>
  <c r="Q20" i="6"/>
  <c r="R20" i="6" s="1"/>
  <c r="Q17" i="6"/>
  <c r="R17" i="6" s="1"/>
  <c r="Q19" i="6"/>
  <c r="R19" i="6" s="1"/>
  <c r="Q21" i="6"/>
  <c r="R21" i="6" s="1"/>
  <c r="Q16" i="6"/>
  <c r="R16" i="6" s="1"/>
  <c r="Q47" i="6"/>
  <c r="R47" i="6" s="1"/>
  <c r="Q48" i="6"/>
  <c r="R48" i="6" s="1"/>
  <c r="Q44" i="6"/>
  <c r="R44" i="6" s="1"/>
  <c r="Q46" i="6"/>
  <c r="R46" i="6" s="1"/>
  <c r="Q49" i="6"/>
  <c r="R49" i="6" s="1"/>
  <c r="Q45" i="6"/>
  <c r="R45" i="6" s="1"/>
  <c r="F41" i="4"/>
  <c r="B23" i="10"/>
  <c r="L50" i="6"/>
  <c r="N36" i="6"/>
  <c r="O36" i="6" s="1"/>
  <c r="N35" i="6"/>
  <c r="O35" i="6" s="1"/>
  <c r="N37" i="6"/>
  <c r="O37" i="6" s="1"/>
  <c r="N38" i="6"/>
  <c r="O38" i="6" s="1"/>
  <c r="N39" i="6"/>
  <c r="O39" i="6" s="1"/>
  <c r="N40" i="6"/>
  <c r="O40" i="6" s="1"/>
  <c r="I60" i="6"/>
  <c r="L60" i="6"/>
  <c r="I50" i="6"/>
  <c r="H3" i="6" l="1"/>
  <c r="G9" i="5" s="1"/>
  <c r="C26" i="2" s="1"/>
  <c r="C27" i="2" s="1"/>
  <c r="D26" i="2" s="1"/>
  <c r="K3" i="6"/>
  <c r="H9" i="5" s="1"/>
  <c r="E26" i="2" s="1"/>
  <c r="E27" i="2" s="1"/>
  <c r="F26" i="2" s="1"/>
  <c r="R31" i="6"/>
  <c r="R60" i="6"/>
  <c r="O50" i="6"/>
  <c r="O60" i="6"/>
  <c r="R12" i="6"/>
  <c r="T3" i="6"/>
  <c r="K9" i="5" s="1"/>
  <c r="O22" i="6"/>
  <c r="R41" i="6"/>
  <c r="O41" i="6"/>
  <c r="R50" i="6"/>
  <c r="O31" i="6"/>
  <c r="R22" i="6"/>
  <c r="O12" i="6"/>
  <c r="D25" i="2" l="1"/>
  <c r="D27" i="2" s="1"/>
  <c r="D28" i="2" s="1"/>
  <c r="D11" i="1" s="1"/>
  <c r="D12" i="4" s="1"/>
  <c r="C7" i="10" s="1"/>
  <c r="F25" i="2"/>
  <c r="F27" i="2" s="1"/>
  <c r="F28" i="2" s="1"/>
  <c r="E11" i="1" s="1"/>
  <c r="E12" i="4" s="1"/>
  <c r="D7" i="10" s="1"/>
  <c r="Q3" i="6"/>
  <c r="J9" i="5" s="1"/>
  <c r="I26" i="2" s="1"/>
  <c r="I27" i="2" s="1"/>
  <c r="H14" i="4"/>
  <c r="K26" i="2"/>
  <c r="K27" i="2" s="1"/>
  <c r="N3" i="6"/>
  <c r="I9" i="5" s="1"/>
  <c r="G26" i="2" s="1"/>
  <c r="G27" i="2" s="1"/>
  <c r="G14" i="4" l="1"/>
  <c r="F9" i="10" s="1"/>
  <c r="C12" i="7"/>
  <c r="D17" i="4"/>
  <c r="C12" i="10" s="1"/>
  <c r="D12" i="7"/>
  <c r="D8" i="7" s="1"/>
  <c r="E17" i="4"/>
  <c r="D12" i="10" s="1"/>
  <c r="H25" i="2"/>
  <c r="H26" i="2"/>
  <c r="L26" i="2"/>
  <c r="L25" i="2"/>
  <c r="L27" i="2" s="1"/>
  <c r="L28" i="2" s="1"/>
  <c r="H11" i="1" s="1"/>
  <c r="H12" i="4" s="1"/>
  <c r="G14" i="7"/>
  <c r="G2" i="7" s="1"/>
  <c r="G9" i="10"/>
  <c r="J25" i="2"/>
  <c r="J26" i="2"/>
  <c r="F14" i="7"/>
  <c r="F2" i="7" s="1"/>
  <c r="C8" i="7"/>
  <c r="C17" i="7"/>
  <c r="D17" i="7" l="1"/>
  <c r="D20" i="7" s="1"/>
  <c r="D21" i="7" s="1"/>
  <c r="J27" i="2"/>
  <c r="J28" i="2" s="1"/>
  <c r="G11" i="1" s="1"/>
  <c r="G12" i="4" s="1"/>
  <c r="G17" i="4" s="1"/>
  <c r="F12" i="10" s="1"/>
  <c r="C20" i="7"/>
  <c r="C21" i="7"/>
  <c r="C19" i="7"/>
  <c r="H2" i="7"/>
  <c r="H17" i="4"/>
  <c r="G12" i="10" s="1"/>
  <c r="G12" i="7"/>
  <c r="G7" i="10"/>
  <c r="H27" i="2"/>
  <c r="H28" i="2" s="1"/>
  <c r="F11" i="1" s="1"/>
  <c r="F12" i="4" s="1"/>
  <c r="D19" i="7" l="1"/>
  <c r="F12" i="7"/>
  <c r="F8" i="7" s="1"/>
  <c r="F7" i="10"/>
  <c r="C25" i="7"/>
  <c r="C24" i="7"/>
  <c r="C28" i="7"/>
  <c r="D25" i="7"/>
  <c r="D24" i="7"/>
  <c r="D28" i="7"/>
  <c r="G8" i="7"/>
  <c r="G17" i="7"/>
  <c r="F17" i="4"/>
  <c r="E12" i="10" s="1"/>
  <c r="E12" i="7"/>
  <c r="E7" i="10"/>
  <c r="F17" i="7" l="1"/>
  <c r="E17" i="7"/>
  <c r="E8" i="7"/>
  <c r="H8" i="7" s="1"/>
  <c r="G20" i="7"/>
  <c r="G21" i="7" s="1"/>
  <c r="G19" i="7"/>
  <c r="F20" i="7"/>
  <c r="F21" i="7" s="1"/>
  <c r="F19" i="7"/>
  <c r="G25" i="7" l="1"/>
  <c r="G28" i="7"/>
  <c r="G24" i="7"/>
  <c r="M13" i="7"/>
  <c r="M12" i="7"/>
  <c r="M14" i="7"/>
  <c r="E20" i="7"/>
  <c r="E21" i="7" s="1"/>
  <c r="E19" i="7"/>
  <c r="H19" i="7" s="1"/>
  <c r="J13" i="7" s="1"/>
  <c r="H17" i="7"/>
  <c r="F28" i="7"/>
  <c r="F25" i="7"/>
  <c r="F24" i="7"/>
  <c r="E24" i="7" l="1"/>
  <c r="D22" i="4" s="1"/>
  <c r="E28" i="7"/>
  <c r="D25" i="4" s="1"/>
  <c r="E25" i="7"/>
  <c r="D23" i="4" s="1"/>
  <c r="C25" i="4"/>
  <c r="C23" i="4"/>
  <c r="B17" i="10" s="1"/>
  <c r="C22" i="4"/>
  <c r="B16" i="10" s="1"/>
  <c r="L14" i="7"/>
  <c r="L12" i="7"/>
  <c r="L13" i="7"/>
  <c r="L17" i="7" l="1"/>
  <c r="E38" i="4"/>
  <c r="C17" i="10"/>
  <c r="G23" i="4"/>
  <c r="G38" i="4"/>
  <c r="G25" i="4"/>
  <c r="C16" i="10"/>
  <c r="G22" i="4"/>
  <c r="D38" i="4"/>
  <c r="I16" i="10" l="1"/>
  <c r="H22" i="4"/>
  <c r="D40" i="4"/>
  <c r="H25" i="4"/>
  <c r="G41" i="4" s="1"/>
  <c r="G40" i="4"/>
  <c r="H23" i="4"/>
  <c r="I23" i="4" s="1"/>
  <c r="I17" i="10"/>
  <c r="E40" i="4"/>
  <c r="I25" i="4" l="1"/>
  <c r="G42" i="4" s="1"/>
  <c r="C22" i="10"/>
  <c r="E42" i="4"/>
  <c r="D41" i="4"/>
  <c r="B21" i="10"/>
  <c r="B22" i="10"/>
  <c r="E41" i="4"/>
  <c r="I22" i="4"/>
  <c r="C21" i="10" l="1"/>
  <c r="F28" i="4"/>
  <c r="D42" i="4"/>
  <c r="E23" i="10" l="1"/>
  <c r="G23" i="10" s="1"/>
  <c r="D26" i="10"/>
  <c r="C34" i="4"/>
  <c r="F30" i="4"/>
  <c r="E34" i="4" l="1"/>
  <c r="G34" i="4"/>
  <c r="F26" i="10"/>
  <c r="E26" i="10"/>
</calcChain>
</file>

<file path=xl/sharedStrings.xml><?xml version="1.0" encoding="utf-8"?>
<sst xmlns="http://schemas.openxmlformats.org/spreadsheetml/2006/main" count="239" uniqueCount="161">
  <si>
    <t>収入金額</t>
    <rPh sb="0" eb="2">
      <t>シュウニュウ</t>
    </rPh>
    <rPh sb="2" eb="4">
      <t>キンガク</t>
    </rPh>
    <phoneticPr fontId="3"/>
  </si>
  <si>
    <t>所得金額</t>
    <rPh sb="0" eb="2">
      <t>ショトク</t>
    </rPh>
    <rPh sb="2" eb="4">
      <t>キンガク</t>
    </rPh>
    <phoneticPr fontId="3"/>
  </si>
  <si>
    <t>給与所得速算表</t>
    <rPh sb="0" eb="2">
      <t>キュウヨ</t>
    </rPh>
    <rPh sb="2" eb="4">
      <t>ショトク</t>
    </rPh>
    <rPh sb="4" eb="5">
      <t>ソク</t>
    </rPh>
    <rPh sb="5" eb="6">
      <t>サン</t>
    </rPh>
    <rPh sb="6" eb="7">
      <t>ヒョウ</t>
    </rPh>
    <phoneticPr fontId="3"/>
  </si>
  <si>
    <t>加入者１</t>
    <rPh sb="0" eb="3">
      <t>カニュウシャ</t>
    </rPh>
    <phoneticPr fontId="3"/>
  </si>
  <si>
    <t>加入者２</t>
    <rPh sb="0" eb="3">
      <t>カニュウシャ</t>
    </rPh>
    <phoneticPr fontId="3"/>
  </si>
  <si>
    <t>加入者３</t>
    <rPh sb="0" eb="3">
      <t>カニュウシャ</t>
    </rPh>
    <phoneticPr fontId="3"/>
  </si>
  <si>
    <t>加入者４</t>
    <rPh sb="0" eb="3">
      <t>カニュウシャ</t>
    </rPh>
    <phoneticPr fontId="3"/>
  </si>
  <si>
    <t>加入者５</t>
    <rPh sb="0" eb="3">
      <t>カニュウシャ</t>
    </rPh>
    <phoneticPr fontId="3"/>
  </si>
  <si>
    <t>給与収入</t>
    <rPh sb="0" eb="2">
      <t>キュウヨ</t>
    </rPh>
    <rPh sb="2" eb="4">
      <t>シュウニュウ</t>
    </rPh>
    <phoneticPr fontId="3"/>
  </si>
  <si>
    <t>給与所得</t>
    <rPh sb="0" eb="2">
      <t>キュウヨ</t>
    </rPh>
    <rPh sb="2" eb="4">
      <t>ショトク</t>
    </rPh>
    <phoneticPr fontId="3"/>
  </si>
  <si>
    <t>年金収入</t>
    <rPh sb="0" eb="2">
      <t>ネンキン</t>
    </rPh>
    <rPh sb="2" eb="4">
      <t>シュウニュウ</t>
    </rPh>
    <phoneticPr fontId="3"/>
  </si>
  <si>
    <t>年金所得</t>
    <rPh sb="0" eb="2">
      <t>ネンキン</t>
    </rPh>
    <rPh sb="2" eb="4">
      <t>ショトク</t>
    </rPh>
    <phoneticPr fontId="3"/>
  </si>
  <si>
    <t>年金所得速算表</t>
    <rPh sb="0" eb="2">
      <t>ネンキン</t>
    </rPh>
    <rPh sb="2" eb="4">
      <t>ショトク</t>
    </rPh>
    <rPh sb="4" eb="5">
      <t>ソク</t>
    </rPh>
    <rPh sb="5" eb="6">
      <t>サン</t>
    </rPh>
    <rPh sb="6" eb="7">
      <t>ヒョウ</t>
    </rPh>
    <phoneticPr fontId="3"/>
  </si>
  <si>
    <t>年齢</t>
    <rPh sb="0" eb="2">
      <t>ネンレイ</t>
    </rPh>
    <phoneticPr fontId="3"/>
  </si>
  <si>
    <t>他所得</t>
    <rPh sb="0" eb="1">
      <t>タ</t>
    </rPh>
    <rPh sb="1" eb="3">
      <t>ショトク</t>
    </rPh>
    <phoneticPr fontId="3"/>
  </si>
  <si>
    <t>譲渡所得</t>
    <rPh sb="0" eb="2">
      <t>ジョウト</t>
    </rPh>
    <rPh sb="2" eb="4">
      <t>ショトク</t>
    </rPh>
    <phoneticPr fontId="3"/>
  </si>
  <si>
    <t>合計所得</t>
    <rPh sb="0" eb="2">
      <t>ゴウケイ</t>
    </rPh>
    <rPh sb="2" eb="4">
      <t>ショトク</t>
    </rPh>
    <phoneticPr fontId="3"/>
  </si>
  <si>
    <t>税額</t>
    <rPh sb="0" eb="2">
      <t>ゼイガク</t>
    </rPh>
    <phoneticPr fontId="3"/>
  </si>
  <si>
    <t>所得割額</t>
    <rPh sb="0" eb="3">
      <t>ショトクワリ</t>
    </rPh>
    <rPh sb="3" eb="4">
      <t>ガク</t>
    </rPh>
    <phoneticPr fontId="3"/>
  </si>
  <si>
    <t>固定資産税額</t>
    <rPh sb="0" eb="2">
      <t>コテイ</t>
    </rPh>
    <rPh sb="2" eb="4">
      <t>シサン</t>
    </rPh>
    <rPh sb="4" eb="6">
      <t>ゼイガク</t>
    </rPh>
    <phoneticPr fontId="3"/>
  </si>
  <si>
    <t>資産割額</t>
    <rPh sb="0" eb="2">
      <t>シサン</t>
    </rPh>
    <rPh sb="2" eb="3">
      <t>ワリ</t>
    </rPh>
    <rPh sb="3" eb="4">
      <t>ガク</t>
    </rPh>
    <phoneticPr fontId="3"/>
  </si>
  <si>
    <t>均等割額</t>
    <rPh sb="0" eb="2">
      <t>キントウ</t>
    </rPh>
    <rPh sb="2" eb="3">
      <t>ワリ</t>
    </rPh>
    <rPh sb="3" eb="4">
      <t>ガク</t>
    </rPh>
    <phoneticPr fontId="3"/>
  </si>
  <si>
    <t>人員</t>
    <rPh sb="0" eb="2">
      <t>ジンイン</t>
    </rPh>
    <phoneticPr fontId="3"/>
  </si>
  <si>
    <t>平等割額</t>
    <rPh sb="0" eb="2">
      <t>ビョウドウ</t>
    </rPh>
    <rPh sb="2" eb="3">
      <t>ワリ</t>
    </rPh>
    <rPh sb="3" eb="4">
      <t>ガク</t>
    </rPh>
    <phoneticPr fontId="3"/>
  </si>
  <si>
    <t>算定税額</t>
    <rPh sb="0" eb="2">
      <t>サンテイ</t>
    </rPh>
    <rPh sb="2" eb="4">
      <t>ゼイガク</t>
    </rPh>
    <phoneticPr fontId="3"/>
  </si>
  <si>
    <t>控除後</t>
    <rPh sb="0" eb="2">
      <t>コウジョ</t>
    </rPh>
    <rPh sb="2" eb="3">
      <t>ゴ</t>
    </rPh>
    <phoneticPr fontId="3"/>
  </si>
  <si>
    <t>均等割</t>
    <rPh sb="0" eb="3">
      <t>キントウワリ</t>
    </rPh>
    <phoneticPr fontId="3"/>
  </si>
  <si>
    <t>平等割</t>
    <rPh sb="0" eb="2">
      <t>ビョウドウ</t>
    </rPh>
    <rPh sb="2" eb="3">
      <t>ワリ</t>
    </rPh>
    <phoneticPr fontId="3"/>
  </si>
  <si>
    <t>医療分</t>
    <rPh sb="0" eb="2">
      <t>イリョウ</t>
    </rPh>
    <rPh sb="2" eb="3">
      <t>ブン</t>
    </rPh>
    <phoneticPr fontId="3"/>
  </si>
  <si>
    <t>介護分</t>
    <rPh sb="0" eb="2">
      <t>カイゴ</t>
    </rPh>
    <rPh sb="2" eb="3">
      <t>ブン</t>
    </rPh>
    <phoneticPr fontId="3"/>
  </si>
  <si>
    <t>世帯合計所得</t>
    <rPh sb="0" eb="2">
      <t>セタイ</t>
    </rPh>
    <rPh sb="2" eb="4">
      <t>ゴウケイ</t>
    </rPh>
    <rPh sb="4" eb="6">
      <t>ショトク</t>
    </rPh>
    <phoneticPr fontId="3"/>
  </si>
  <si>
    <t>介護該当人数</t>
    <rPh sb="0" eb="2">
      <t>カイゴ</t>
    </rPh>
    <rPh sb="2" eb="4">
      <t>ガイトウ</t>
    </rPh>
    <rPh sb="4" eb="6">
      <t>ニンズウ</t>
    </rPh>
    <phoneticPr fontId="3"/>
  </si>
  <si>
    <t>６５歳以上人数</t>
    <rPh sb="2" eb="3">
      <t>サイ</t>
    </rPh>
    <rPh sb="3" eb="5">
      <t>イジョウ</t>
    </rPh>
    <rPh sb="5" eb="7">
      <t>ニンズウ</t>
    </rPh>
    <phoneticPr fontId="3"/>
  </si>
  <si>
    <t>加入の有無</t>
    <rPh sb="0" eb="2">
      <t>カニュウ</t>
    </rPh>
    <rPh sb="3" eb="5">
      <t>ウム</t>
    </rPh>
    <phoneticPr fontId="3"/>
  </si>
  <si>
    <t>被保険者数</t>
    <rPh sb="0" eb="4">
      <t>ヒホケンシャ</t>
    </rPh>
    <rPh sb="4" eb="5">
      <t>スウ</t>
    </rPh>
    <phoneticPr fontId="3"/>
  </si>
  <si>
    <t>限度額超過分</t>
    <rPh sb="0" eb="2">
      <t>ゲンド</t>
    </rPh>
    <rPh sb="2" eb="3">
      <t>ガク</t>
    </rPh>
    <rPh sb="3" eb="6">
      <t>チョウカブン</t>
    </rPh>
    <phoneticPr fontId="3"/>
  </si>
  <si>
    <t>年税額</t>
    <rPh sb="0" eb="3">
      <t>ネンゼイガク</t>
    </rPh>
    <phoneticPr fontId="3"/>
  </si>
  <si>
    <t>合計年税額</t>
    <rPh sb="0" eb="2">
      <t>ゴウケイ</t>
    </rPh>
    <rPh sb="2" eb="3">
      <t>ネン</t>
    </rPh>
    <rPh sb="3" eb="4">
      <t>ゼイ</t>
    </rPh>
    <rPh sb="4" eb="5">
      <t>ガク</t>
    </rPh>
    <phoneticPr fontId="3"/>
  </si>
  <si>
    <t>軽減判定</t>
    <rPh sb="0" eb="2">
      <t>ケイゲン</t>
    </rPh>
    <rPh sb="2" eb="4">
      <t>ハンテイ</t>
    </rPh>
    <phoneticPr fontId="3"/>
  </si>
  <si>
    <t>所得割のもととなる額</t>
    <rPh sb="0" eb="2">
      <t>ショトク</t>
    </rPh>
    <rPh sb="2" eb="3">
      <t>ワリ</t>
    </rPh>
    <rPh sb="9" eb="10">
      <t>ガク</t>
    </rPh>
    <phoneticPr fontId="3"/>
  </si>
  <si>
    <t>加入者</t>
    <rPh sb="0" eb="2">
      <t>カニュウ</t>
    </rPh>
    <rPh sb="2" eb="3">
      <t>シャ</t>
    </rPh>
    <phoneticPr fontId="3"/>
  </si>
  <si>
    <t>１ヵ月当たりの額</t>
    <rPh sb="0" eb="3">
      <t>イッカゲツ</t>
    </rPh>
    <rPh sb="3" eb="4">
      <t>ア</t>
    </rPh>
    <rPh sb="7" eb="8">
      <t>ガク</t>
    </rPh>
    <phoneticPr fontId="3"/>
  </si>
  <si>
    <t>６５歳未満</t>
    <rPh sb="2" eb="3">
      <t>サイ</t>
    </rPh>
    <rPh sb="3" eb="5">
      <t>ミマン</t>
    </rPh>
    <phoneticPr fontId="3"/>
  </si>
  <si>
    <t>６５歳以上</t>
    <rPh sb="2" eb="3">
      <t>サイ</t>
    </rPh>
    <rPh sb="3" eb="5">
      <t>イジョウ</t>
    </rPh>
    <phoneticPr fontId="3"/>
  </si>
  <si>
    <t>所得割</t>
    <rPh sb="0" eb="3">
      <t>ショトクワリ</t>
    </rPh>
    <phoneticPr fontId="3"/>
  </si>
  <si>
    <t>資産割</t>
    <rPh sb="0" eb="2">
      <t>シサン</t>
    </rPh>
    <rPh sb="2" eb="3">
      <t>ワリ</t>
    </rPh>
    <phoneticPr fontId="3"/>
  </si>
  <si>
    <t>項　目</t>
    <rPh sb="0" eb="1">
      <t>コウ</t>
    </rPh>
    <rPh sb="2" eb="3">
      <t>メ</t>
    </rPh>
    <phoneticPr fontId="3"/>
  </si>
  <si>
    <t>年齢入力</t>
    <rPh sb="0" eb="2">
      <t>ネンレイ</t>
    </rPh>
    <rPh sb="2" eb="4">
      <t>ニュウリョク</t>
    </rPh>
    <phoneticPr fontId="3"/>
  </si>
  <si>
    <t>メッセージ</t>
    <phoneticPr fontId="3"/>
  </si>
  <si>
    <t>支援分</t>
    <rPh sb="0" eb="2">
      <t>シエン</t>
    </rPh>
    <rPh sb="2" eb="3">
      <t>ブン</t>
    </rPh>
    <phoneticPr fontId="3"/>
  </si>
  <si>
    <t>年金所得　　　　　　　　　　　　　　</t>
    <rPh sb="0" eb="2">
      <t>ネンキン</t>
    </rPh>
    <rPh sb="2" eb="4">
      <t>ショトク</t>
    </rPh>
    <phoneticPr fontId="3"/>
  </si>
  <si>
    <t>支援金分</t>
    <rPh sb="0" eb="3">
      <t>シエンキン</t>
    </rPh>
    <rPh sb="3" eb="4">
      <t>ブン</t>
    </rPh>
    <phoneticPr fontId="3"/>
  </si>
  <si>
    <t>介護該当者課標</t>
    <rPh sb="0" eb="2">
      <t>カイゴ</t>
    </rPh>
    <rPh sb="2" eb="5">
      <t>ガイトウシャ</t>
    </rPh>
    <rPh sb="5" eb="7">
      <t>カヒョウ</t>
    </rPh>
    <phoneticPr fontId="3"/>
  </si>
  <si>
    <t>旧国保加入者数</t>
    <rPh sb="0" eb="1">
      <t>キュウ</t>
    </rPh>
    <rPh sb="1" eb="3">
      <t>コクホ</t>
    </rPh>
    <rPh sb="3" eb="6">
      <t>カニュウシャ</t>
    </rPh>
    <rPh sb="6" eb="7">
      <t>スウ</t>
    </rPh>
    <phoneticPr fontId="3"/>
  </si>
  <si>
    <t>資格状況</t>
    <rPh sb="0" eb="2">
      <t>シカク</t>
    </rPh>
    <rPh sb="2" eb="4">
      <t>ジョウキョウ</t>
    </rPh>
    <phoneticPr fontId="3"/>
  </si>
  <si>
    <t>加入者区分</t>
    <rPh sb="0" eb="3">
      <t>カニュウシャ</t>
    </rPh>
    <rPh sb="3" eb="5">
      <t>クブン</t>
    </rPh>
    <phoneticPr fontId="3"/>
  </si>
  <si>
    <t>軽減判定用所得</t>
    <rPh sb="0" eb="2">
      <t>ケイゲン</t>
    </rPh>
    <rPh sb="2" eb="5">
      <t>ハンテイヨウ</t>
    </rPh>
    <rPh sb="5" eb="7">
      <t>ショトク</t>
    </rPh>
    <phoneticPr fontId="3"/>
  </si>
  <si>
    <t>２割軽減</t>
    <rPh sb="1" eb="2">
      <t>ワリ</t>
    </rPh>
    <rPh sb="2" eb="4">
      <t>ケイゲン</t>
    </rPh>
    <phoneticPr fontId="3"/>
  </si>
  <si>
    <t>７割軽減</t>
    <rPh sb="1" eb="2">
      <t>ワリ</t>
    </rPh>
    <rPh sb="2" eb="4">
      <t>ケイゲン</t>
    </rPh>
    <phoneticPr fontId="3"/>
  </si>
  <si>
    <t>５割軽減</t>
    <rPh sb="1" eb="2">
      <t>ワリ</t>
    </rPh>
    <rPh sb="2" eb="4">
      <t>ケイゲン</t>
    </rPh>
    <phoneticPr fontId="3"/>
  </si>
  <si>
    <t>軽減判定基準額</t>
    <rPh sb="0" eb="2">
      <t>ケイゲン</t>
    </rPh>
    <rPh sb="2" eb="4">
      <t>ハンテイ</t>
    </rPh>
    <rPh sb="4" eb="6">
      <t>キジュン</t>
    </rPh>
    <rPh sb="6" eb="7">
      <t>ガク</t>
    </rPh>
    <phoneticPr fontId="3"/>
  </si>
  <si>
    <t>１ヶ月あたりの額</t>
    <rPh sb="2" eb="3">
      <t>ゲツ</t>
    </rPh>
    <rPh sb="7" eb="8">
      <t>ガク</t>
    </rPh>
    <phoneticPr fontId="3"/>
  </si>
  <si>
    <t>年金所得　　　　　　　　　　　　　　　（年金等控除後）</t>
    <rPh sb="0" eb="2">
      <t>ネンキン</t>
    </rPh>
    <rPh sb="2" eb="4">
      <t>ショトク</t>
    </rPh>
    <rPh sb="20" eb="22">
      <t>ネンキン</t>
    </rPh>
    <rPh sb="22" eb="23">
      <t>トウ</t>
    </rPh>
    <rPh sb="23" eb="25">
      <t>コウジョ</t>
    </rPh>
    <rPh sb="25" eb="26">
      <t>ゴ</t>
    </rPh>
    <phoneticPr fontId="3"/>
  </si>
  <si>
    <t>【注意点】</t>
    <rPh sb="1" eb="3">
      <t>チュウイ</t>
    </rPh>
    <rPh sb="3" eb="4">
      <t>テン</t>
    </rPh>
    <phoneticPr fontId="3"/>
  </si>
  <si>
    <t>J10</t>
    <phoneticPr fontId="3"/>
  </si>
  <si>
    <t>I10</t>
    <phoneticPr fontId="3"/>
  </si>
  <si>
    <t>K10</t>
    <phoneticPr fontId="3"/>
  </si>
  <si>
    <t>L10</t>
    <phoneticPr fontId="3"/>
  </si>
  <si>
    <t>M10</t>
    <phoneticPr fontId="3"/>
  </si>
  <si>
    <t>65歳未満</t>
    <rPh sb="2" eb="3">
      <t>サイ</t>
    </rPh>
    <rPh sb="3" eb="5">
      <t>ミマン</t>
    </rPh>
    <phoneticPr fontId="3"/>
  </si>
  <si>
    <t>65歳以上</t>
    <rPh sb="2" eb="5">
      <t>サイイジョウ</t>
    </rPh>
    <phoneticPr fontId="3"/>
  </si>
  <si>
    <t>65歳以上年金所得の有無</t>
    <rPh sb="2" eb="3">
      <t>サイ</t>
    </rPh>
    <rPh sb="3" eb="5">
      <t>イジョウ</t>
    </rPh>
    <rPh sb="5" eb="7">
      <t>ネンキン</t>
    </rPh>
    <rPh sb="7" eb="9">
      <t>ショトク</t>
    </rPh>
    <rPh sb="10" eb="12">
      <t>ウム</t>
    </rPh>
    <phoneticPr fontId="3"/>
  </si>
  <si>
    <t>計</t>
    <rPh sb="0" eb="1">
      <t>ケイ</t>
    </rPh>
    <phoneticPr fontId="3"/>
  </si>
  <si>
    <t>給与</t>
    <rPh sb="0" eb="2">
      <t>キュウヨ</t>
    </rPh>
    <phoneticPr fontId="3"/>
  </si>
  <si>
    <t>年金</t>
    <rPh sb="0" eb="2">
      <t>ネンキン</t>
    </rPh>
    <phoneticPr fontId="3"/>
  </si>
  <si>
    <t>所得金額調整控除（給与所得(最大10万)＋公的年金等雑所得(最大10万)）-10万円</t>
    <rPh sb="0" eb="2">
      <t>ショトク</t>
    </rPh>
    <rPh sb="2" eb="4">
      <t>キンガク</t>
    </rPh>
    <rPh sb="4" eb="6">
      <t>チョウセイ</t>
    </rPh>
    <rPh sb="6" eb="8">
      <t>コウジョ</t>
    </rPh>
    <rPh sb="9" eb="11">
      <t>キュウヨ</t>
    </rPh>
    <rPh sb="11" eb="13">
      <t>ショトク</t>
    </rPh>
    <rPh sb="14" eb="16">
      <t>サイダイ</t>
    </rPh>
    <rPh sb="18" eb="19">
      <t>マン</t>
    </rPh>
    <rPh sb="21" eb="23">
      <t>コウテキ</t>
    </rPh>
    <rPh sb="23" eb="25">
      <t>ネンキン</t>
    </rPh>
    <rPh sb="25" eb="26">
      <t>トウ</t>
    </rPh>
    <rPh sb="26" eb="29">
      <t>ザツショトク</t>
    </rPh>
    <rPh sb="40" eb="42">
      <t>マンエン</t>
    </rPh>
    <phoneticPr fontId="3"/>
  </si>
  <si>
    <t>給与or年金</t>
    <rPh sb="0" eb="2">
      <t>キュウヨ</t>
    </rPh>
    <rPh sb="4" eb="6">
      <t>ネンキン</t>
    </rPh>
    <phoneticPr fontId="3"/>
  </si>
  <si>
    <t>割</t>
    <rPh sb="0" eb="1">
      <t>ワリ</t>
    </rPh>
    <phoneticPr fontId="3"/>
  </si>
  <si>
    <t>控除額</t>
    <rPh sb="0" eb="2">
      <t>コウジョ</t>
    </rPh>
    <rPh sb="2" eb="3">
      <t>ガク</t>
    </rPh>
    <phoneticPr fontId="3"/>
  </si>
  <si>
    <t>年金以外の合計所得</t>
    <rPh sb="0" eb="2">
      <t>ネンキン</t>
    </rPh>
    <rPh sb="2" eb="4">
      <t>イガイ</t>
    </rPh>
    <rPh sb="5" eb="7">
      <t>ゴウケイ</t>
    </rPh>
    <rPh sb="7" eb="9">
      <t>ショトク</t>
    </rPh>
    <phoneticPr fontId="3"/>
  </si>
  <si>
    <t>1000万以下</t>
    <rPh sb="4" eb="7">
      <t>マンイカ</t>
    </rPh>
    <phoneticPr fontId="3"/>
  </si>
  <si>
    <t>1000超～2000以下</t>
    <rPh sb="4" eb="5">
      <t>チョウ</t>
    </rPh>
    <rPh sb="10" eb="12">
      <t>イカ</t>
    </rPh>
    <phoneticPr fontId="3"/>
  </si>
  <si>
    <t>2000超</t>
    <rPh sb="4" eb="5">
      <t>チョウ</t>
    </rPh>
    <phoneticPr fontId="3"/>
  </si>
  <si>
    <t>公的年金等雑所得以外の</t>
    <rPh sb="0" eb="2">
      <t>コウテキ</t>
    </rPh>
    <rPh sb="2" eb="4">
      <t>ネンキン</t>
    </rPh>
    <rPh sb="4" eb="5">
      <t>トウ</t>
    </rPh>
    <rPh sb="5" eb="8">
      <t>ザツショトク</t>
    </rPh>
    <rPh sb="8" eb="10">
      <t>イガイ</t>
    </rPh>
    <phoneticPr fontId="3"/>
  </si>
  <si>
    <t>所得に係る合計所得金額</t>
    <rPh sb="0" eb="2">
      <t>ショトク</t>
    </rPh>
    <rPh sb="3" eb="4">
      <t>カカ</t>
    </rPh>
    <rPh sb="5" eb="7">
      <t>ゴウケイ</t>
    </rPh>
    <rPh sb="7" eb="9">
      <t>ショトク</t>
    </rPh>
    <rPh sb="9" eb="11">
      <t>キンガク</t>
    </rPh>
    <phoneticPr fontId="3"/>
  </si>
  <si>
    <t>下記の金額は１２ヶ月分（４月～翌年３月）の保険税額です。</t>
    <rPh sb="0" eb="2">
      <t>カキ</t>
    </rPh>
    <rPh sb="3" eb="5">
      <t>キンガク</t>
    </rPh>
    <rPh sb="9" eb="10">
      <t>ツキ</t>
    </rPh>
    <rPh sb="10" eb="11">
      <t>ブン</t>
    </rPh>
    <rPh sb="13" eb="14">
      <t>ツキ</t>
    </rPh>
    <rPh sb="15" eb="17">
      <t>ヨクネン</t>
    </rPh>
    <rPh sb="18" eb="19">
      <t>ツキ</t>
    </rPh>
    <rPh sb="21" eb="23">
      <t>ホケン</t>
    </rPh>
    <rPh sb="23" eb="25">
      <t>ゼイガク</t>
    </rPh>
    <phoneticPr fontId="3"/>
  </si>
  <si>
    <t>年税額</t>
    <rPh sb="0" eb="1">
      <t>ネン</t>
    </rPh>
    <rPh sb="1" eb="2">
      <t>ゼイ</t>
    </rPh>
    <rPh sb="2" eb="3">
      <t>ガク</t>
    </rPh>
    <phoneticPr fontId="3"/>
  </si>
  <si>
    <t>　　・低所得世帯に該当し軽減措置が受けられる場合には、試算結果より保険税額が安くなることがあります。</t>
    <rPh sb="3" eb="6">
      <t>テイショトク</t>
    </rPh>
    <rPh sb="6" eb="8">
      <t>セタイ</t>
    </rPh>
    <rPh sb="9" eb="11">
      <t>ガイトウ</t>
    </rPh>
    <rPh sb="12" eb="14">
      <t>ケイゲン</t>
    </rPh>
    <rPh sb="14" eb="16">
      <t>ソチ</t>
    </rPh>
    <rPh sb="17" eb="18">
      <t>ウ</t>
    </rPh>
    <rPh sb="22" eb="24">
      <t>バアイ</t>
    </rPh>
    <rPh sb="27" eb="29">
      <t>シサン</t>
    </rPh>
    <rPh sb="29" eb="31">
      <t>ケッカ</t>
    </rPh>
    <rPh sb="33" eb="35">
      <t>ホケン</t>
    </rPh>
    <rPh sb="35" eb="36">
      <t>ゼイ</t>
    </rPh>
    <rPh sb="36" eb="37">
      <t>ガク</t>
    </rPh>
    <rPh sb="38" eb="39">
      <t>ヤス</t>
    </rPh>
    <phoneticPr fontId="3"/>
  </si>
  <si>
    <t>　　・試算申請時の申し出と実際の算定時の世帯状況・所得等が違うことにより、決定される国民健康保険税額とは異なることがあります。</t>
    <rPh sb="3" eb="5">
      <t>シサン</t>
    </rPh>
    <rPh sb="5" eb="7">
      <t>シンセイ</t>
    </rPh>
    <rPh sb="7" eb="8">
      <t>ジ</t>
    </rPh>
    <rPh sb="9" eb="10">
      <t>モウ</t>
    </rPh>
    <rPh sb="11" eb="12">
      <t>デ</t>
    </rPh>
    <rPh sb="13" eb="15">
      <t>ジッサイ</t>
    </rPh>
    <rPh sb="16" eb="18">
      <t>サンテイ</t>
    </rPh>
    <rPh sb="18" eb="19">
      <t>ジ</t>
    </rPh>
    <rPh sb="20" eb="22">
      <t>セタイ</t>
    </rPh>
    <rPh sb="22" eb="24">
      <t>ジョウキョウ</t>
    </rPh>
    <rPh sb="25" eb="27">
      <t>ショトク</t>
    </rPh>
    <rPh sb="27" eb="28">
      <t>トウ</t>
    </rPh>
    <rPh sb="29" eb="30">
      <t>チガ</t>
    </rPh>
    <rPh sb="37" eb="39">
      <t>ケッテイ</t>
    </rPh>
    <rPh sb="42" eb="44">
      <t>コクミン</t>
    </rPh>
    <rPh sb="44" eb="46">
      <t>ケンコウ</t>
    </rPh>
    <rPh sb="46" eb="48">
      <t>ホケン</t>
    </rPh>
    <rPh sb="48" eb="49">
      <t>ゼイ</t>
    </rPh>
    <rPh sb="49" eb="50">
      <t>ガク</t>
    </rPh>
    <rPh sb="52" eb="53">
      <t>コト</t>
    </rPh>
    <phoneticPr fontId="3"/>
  </si>
  <si>
    <r>
      <rPr>
        <sz val="10"/>
        <rFont val="ＭＳ 明朝"/>
        <family val="1"/>
        <charset val="128"/>
      </rPr>
      <t>国保1回分の請求額</t>
    </r>
    <r>
      <rPr>
        <sz val="9"/>
        <color indexed="12"/>
        <rFont val="ＭＳ 明朝"/>
        <family val="1"/>
        <charset val="128"/>
      </rPr>
      <t xml:space="preserve">
</t>
    </r>
    <r>
      <rPr>
        <sz val="8"/>
        <color indexed="12"/>
        <rFont val="ＭＳ 明朝"/>
        <family val="1"/>
        <charset val="128"/>
      </rPr>
      <t>（8回払いの場合）</t>
    </r>
    <rPh sb="0" eb="2">
      <t>コクホ</t>
    </rPh>
    <rPh sb="3" eb="4">
      <t>カイ</t>
    </rPh>
    <rPh sb="4" eb="5">
      <t>ブン</t>
    </rPh>
    <rPh sb="6" eb="8">
      <t>セイキュウ</t>
    </rPh>
    <rPh sb="8" eb="9">
      <t>ガク</t>
    </rPh>
    <rPh sb="12" eb="13">
      <t>カイ</t>
    </rPh>
    <rPh sb="13" eb="14">
      <t>バラ</t>
    </rPh>
    <rPh sb="16" eb="18">
      <t>バアイ</t>
    </rPh>
    <phoneticPr fontId="3"/>
  </si>
  <si>
    <t>通常</t>
    <rPh sb="0" eb="2">
      <t>ツウジョウ</t>
    </rPh>
    <phoneticPr fontId="3"/>
  </si>
  <si>
    <t>非自発</t>
    <rPh sb="0" eb="1">
      <t>ヒ</t>
    </rPh>
    <rPh sb="1" eb="3">
      <t>ジハツ</t>
    </rPh>
    <phoneticPr fontId="3"/>
  </si>
  <si>
    <t>　　・給与収入が850万超の方の所得金額調整控除の計算は正しく出来ません。この試算結果と実際の請求額は年額で1～2万円の誤差が発生
　　　する場合がありますので、試算結果は目安としてご利用ください。</t>
    <rPh sb="44" eb="46">
      <t>ジッサイ</t>
    </rPh>
    <rPh sb="47" eb="49">
      <t>セイキュウ</t>
    </rPh>
    <rPh sb="49" eb="50">
      <t>ガク</t>
    </rPh>
    <rPh sb="51" eb="52">
      <t>ネン</t>
    </rPh>
    <rPh sb="52" eb="53">
      <t>ガク</t>
    </rPh>
    <rPh sb="71" eb="73">
      <t>バアイ</t>
    </rPh>
    <phoneticPr fontId="3"/>
  </si>
  <si>
    <t>　　・「任意継続と比較する額」は、任意継続の保険料と比較するために、年税額を12(ヵ月)で割り、1か月あたりの額を算出したもので
　　　あり、国保1回分の請求額（12ヵ月分の保険税を8回払い）とは一致しません。</t>
    <rPh sb="4" eb="6">
      <t>ニンイ</t>
    </rPh>
    <rPh sb="6" eb="8">
      <t>ケイゾク</t>
    </rPh>
    <rPh sb="9" eb="11">
      <t>ヒカク</t>
    </rPh>
    <rPh sb="13" eb="14">
      <t>ガク</t>
    </rPh>
    <rPh sb="17" eb="19">
      <t>ニンイ</t>
    </rPh>
    <rPh sb="19" eb="21">
      <t>ケイゾク</t>
    </rPh>
    <rPh sb="22" eb="25">
      <t>ホケンリョウ</t>
    </rPh>
    <rPh sb="26" eb="28">
      <t>ヒカク</t>
    </rPh>
    <rPh sb="34" eb="37">
      <t>ネンゼイガク</t>
    </rPh>
    <rPh sb="42" eb="43">
      <t>ゲツ</t>
    </rPh>
    <rPh sb="45" eb="46">
      <t>ワ</t>
    </rPh>
    <rPh sb="50" eb="51">
      <t>ゲツ</t>
    </rPh>
    <rPh sb="55" eb="56">
      <t>ガク</t>
    </rPh>
    <rPh sb="57" eb="59">
      <t>サンシュツ</t>
    </rPh>
    <rPh sb="71" eb="73">
      <t>コクホ</t>
    </rPh>
    <rPh sb="74" eb="75">
      <t>カイ</t>
    </rPh>
    <rPh sb="75" eb="76">
      <t>ブン</t>
    </rPh>
    <rPh sb="77" eb="79">
      <t>セイキュウ</t>
    </rPh>
    <rPh sb="79" eb="80">
      <t>ガク</t>
    </rPh>
    <rPh sb="84" eb="85">
      <t>ゲツ</t>
    </rPh>
    <rPh sb="85" eb="86">
      <t>ブン</t>
    </rPh>
    <rPh sb="87" eb="89">
      <t>ホケン</t>
    </rPh>
    <rPh sb="89" eb="90">
      <t>ゼイ</t>
    </rPh>
    <phoneticPr fontId="3"/>
  </si>
  <si>
    <t>　　・社会保険の任意継続保険料と比べて、国民健康保険税額の試算結果の方が安い場合でも、保険給付における判定が変わることにより
　　　　　〇医療費の自己負担割合2割→3割へ上がる（70歳以上の方）
　　　　　〇高額療養費制度の1か月あたりの自己負担限度額が上がる（全ての年齢の方）
　　　ことがあり、制度による有利不利が一概に言えない場合があります。</t>
    <rPh sb="3" eb="5">
      <t>シャカイ</t>
    </rPh>
    <rPh sb="5" eb="7">
      <t>ホケン</t>
    </rPh>
    <rPh sb="8" eb="10">
      <t>ニンイ</t>
    </rPh>
    <rPh sb="10" eb="12">
      <t>ケイゾク</t>
    </rPh>
    <rPh sb="12" eb="15">
      <t>ホケンリョウ</t>
    </rPh>
    <rPh sb="16" eb="17">
      <t>クラ</t>
    </rPh>
    <rPh sb="20" eb="22">
      <t>コクミン</t>
    </rPh>
    <rPh sb="22" eb="24">
      <t>ケンコウ</t>
    </rPh>
    <rPh sb="24" eb="26">
      <t>ホケン</t>
    </rPh>
    <rPh sb="26" eb="28">
      <t>ゼイガク</t>
    </rPh>
    <rPh sb="29" eb="31">
      <t>シサン</t>
    </rPh>
    <rPh sb="31" eb="33">
      <t>ケッカ</t>
    </rPh>
    <rPh sb="34" eb="35">
      <t>ホウ</t>
    </rPh>
    <rPh sb="36" eb="37">
      <t>ヤス</t>
    </rPh>
    <rPh sb="38" eb="40">
      <t>バアイ</t>
    </rPh>
    <rPh sb="43" eb="45">
      <t>ホケン</t>
    </rPh>
    <rPh sb="45" eb="47">
      <t>キュウフ</t>
    </rPh>
    <rPh sb="51" eb="53">
      <t>ハンテイ</t>
    </rPh>
    <rPh sb="54" eb="55">
      <t>カ</t>
    </rPh>
    <rPh sb="69" eb="72">
      <t>イリョウヒ</t>
    </rPh>
    <rPh sb="73" eb="75">
      <t>ジコ</t>
    </rPh>
    <rPh sb="75" eb="77">
      <t>フタン</t>
    </rPh>
    <rPh sb="77" eb="79">
      <t>ワリアイ</t>
    </rPh>
    <rPh sb="80" eb="81">
      <t>ワリ</t>
    </rPh>
    <rPh sb="83" eb="84">
      <t>ワリ</t>
    </rPh>
    <rPh sb="85" eb="86">
      <t>ア</t>
    </rPh>
    <rPh sb="91" eb="94">
      <t>サイイジョウ</t>
    </rPh>
    <rPh sb="95" eb="96">
      <t>カタ</t>
    </rPh>
    <rPh sb="104" eb="106">
      <t>コウガク</t>
    </rPh>
    <rPh sb="106" eb="109">
      <t>リョウヨウヒ</t>
    </rPh>
    <rPh sb="109" eb="111">
      <t>セイド</t>
    </rPh>
    <rPh sb="114" eb="115">
      <t>ゲツ</t>
    </rPh>
    <rPh sb="119" eb="121">
      <t>ジコ</t>
    </rPh>
    <rPh sb="121" eb="123">
      <t>フタン</t>
    </rPh>
    <rPh sb="123" eb="125">
      <t>ゲンド</t>
    </rPh>
    <rPh sb="125" eb="126">
      <t>ガク</t>
    </rPh>
    <rPh sb="127" eb="128">
      <t>ア</t>
    </rPh>
    <rPh sb="131" eb="132">
      <t>スベ</t>
    </rPh>
    <rPh sb="134" eb="136">
      <t>ネンレイ</t>
    </rPh>
    <rPh sb="137" eb="138">
      <t>カタ</t>
    </rPh>
    <phoneticPr fontId="3"/>
  </si>
  <si>
    <r>
      <rPr>
        <sz val="8"/>
        <rFont val="ＭＳ ゴシック"/>
        <family val="3"/>
        <charset val="128"/>
      </rPr>
      <t>任意継続と比較する額</t>
    </r>
    <r>
      <rPr>
        <sz val="9"/>
        <rFont val="ＭＳ ゴシック"/>
        <family val="3"/>
        <charset val="128"/>
      </rPr>
      <t xml:space="preserve">
</t>
    </r>
    <r>
      <rPr>
        <sz val="8"/>
        <color indexed="12"/>
        <rFont val="ＭＳ ゴシック"/>
        <family val="3"/>
        <charset val="128"/>
      </rPr>
      <t>（１ヶ月あたりの額）</t>
    </r>
    <rPh sb="0" eb="2">
      <t>ニンイ</t>
    </rPh>
    <rPh sb="2" eb="4">
      <t>ケイゾク</t>
    </rPh>
    <rPh sb="5" eb="7">
      <t>ヒカク</t>
    </rPh>
    <rPh sb="9" eb="10">
      <t>ガク</t>
    </rPh>
    <phoneticPr fontId="3"/>
  </si>
  <si>
    <t>　　・世帯内に未就学児がいる場合には、当該未就学児の均等割が半額に減額されるため、試算結果より保険税額が安くなることがあります。</t>
    <rPh sb="3" eb="5">
      <t>セタイ</t>
    </rPh>
    <rPh sb="5" eb="6">
      <t>ナイ</t>
    </rPh>
    <rPh sb="7" eb="11">
      <t>ミシュウガクジ</t>
    </rPh>
    <rPh sb="14" eb="16">
      <t>バアイ</t>
    </rPh>
    <rPh sb="19" eb="21">
      <t>トウガイ</t>
    </rPh>
    <rPh sb="21" eb="25">
      <t>ミシュウガクジ</t>
    </rPh>
    <rPh sb="26" eb="29">
      <t>キントウワリ</t>
    </rPh>
    <rPh sb="30" eb="32">
      <t>ハンガク</t>
    </rPh>
    <rPh sb="33" eb="35">
      <t>ゲンガク</t>
    </rPh>
    <rPh sb="41" eb="43">
      <t>シサン</t>
    </rPh>
    <rPh sb="43" eb="45">
      <t>ケッカ</t>
    </rPh>
    <rPh sb="47" eb="49">
      <t>ホケン</t>
    </rPh>
    <rPh sb="49" eb="50">
      <t>ゼイ</t>
    </rPh>
    <rPh sb="50" eb="51">
      <t>ガク</t>
    </rPh>
    <rPh sb="52" eb="53">
      <t>ヤス</t>
    </rPh>
    <phoneticPr fontId="3"/>
  </si>
  <si>
    <t>　　・雇用保険の特定受給資格者等に該当し、非自発的失業者の軽減措置が受けられる場合には、計算方法が変わります。前年の給与所得を
　　　30/100として計算する軽減が受けられますので、お申出ください。(ただし離職時65歳以上の方や、短期雇用の方等は対象外です。)</t>
    <rPh sb="3" eb="5">
      <t>コヨウ</t>
    </rPh>
    <rPh sb="5" eb="7">
      <t>ホケン</t>
    </rPh>
    <rPh sb="8" eb="10">
      <t>トクテイ</t>
    </rPh>
    <rPh sb="10" eb="12">
      <t>ジュキュウ</t>
    </rPh>
    <rPh sb="12" eb="15">
      <t>シカクシャ</t>
    </rPh>
    <rPh sb="15" eb="16">
      <t>トウ</t>
    </rPh>
    <rPh sb="17" eb="19">
      <t>ガイトウ</t>
    </rPh>
    <rPh sb="21" eb="22">
      <t>ヒ</t>
    </rPh>
    <rPh sb="22" eb="25">
      <t>ジハツテキ</t>
    </rPh>
    <rPh sb="25" eb="28">
      <t>シツギョウシャ</t>
    </rPh>
    <rPh sb="29" eb="31">
      <t>ケイゲン</t>
    </rPh>
    <rPh sb="31" eb="33">
      <t>ソチ</t>
    </rPh>
    <rPh sb="34" eb="35">
      <t>ウ</t>
    </rPh>
    <rPh sb="39" eb="41">
      <t>バアイ</t>
    </rPh>
    <rPh sb="44" eb="46">
      <t>ケイサン</t>
    </rPh>
    <rPh sb="46" eb="48">
      <t>ホウホウ</t>
    </rPh>
    <rPh sb="49" eb="50">
      <t>カ</t>
    </rPh>
    <rPh sb="55" eb="57">
      <t>ゼンネン</t>
    </rPh>
    <rPh sb="58" eb="60">
      <t>キュウヨ</t>
    </rPh>
    <rPh sb="60" eb="62">
      <t>ショトク</t>
    </rPh>
    <rPh sb="76" eb="78">
      <t>ケイサン</t>
    </rPh>
    <rPh sb="80" eb="82">
      <t>ケイゲン</t>
    </rPh>
    <rPh sb="83" eb="84">
      <t>ウ</t>
    </rPh>
    <rPh sb="93" eb="94">
      <t>モウ</t>
    </rPh>
    <rPh sb="94" eb="95">
      <t>デ</t>
    </rPh>
    <rPh sb="104" eb="107">
      <t>リショクジ</t>
    </rPh>
    <rPh sb="109" eb="110">
      <t>サイ</t>
    </rPh>
    <rPh sb="110" eb="112">
      <t>イジョウ</t>
    </rPh>
    <rPh sb="113" eb="114">
      <t>カタ</t>
    </rPh>
    <rPh sb="116" eb="118">
      <t>タンキ</t>
    </rPh>
    <rPh sb="118" eb="120">
      <t>コヨウ</t>
    </rPh>
    <rPh sb="121" eb="122">
      <t>カタ</t>
    </rPh>
    <rPh sb="122" eb="123">
      <t>トウ</t>
    </rPh>
    <rPh sb="124" eb="127">
      <t>タイショウガイ</t>
    </rPh>
    <phoneticPr fontId="3"/>
  </si>
  <si>
    <t>子ども分</t>
    <rPh sb="0" eb="1">
      <t>コ</t>
    </rPh>
    <rPh sb="3" eb="4">
      <t>ブン</t>
    </rPh>
    <phoneticPr fontId="3"/>
  </si>
  <si>
    <t>18歳以上</t>
    <rPh sb="2" eb="5">
      <t>サイイジョウ</t>
    </rPh>
    <phoneticPr fontId="3"/>
  </si>
  <si>
    <t>-65万円</t>
    <rPh sb="3" eb="5">
      <t>マンエン</t>
    </rPh>
    <phoneticPr fontId="3"/>
  </si>
  <si>
    <t>(収入÷4000）×2800－8万</t>
    <rPh sb="1" eb="3">
      <t>シュウニュウ</t>
    </rPh>
    <phoneticPr fontId="3"/>
  </si>
  <si>
    <t>(収入÷4000）×3200－44万</t>
    <rPh sb="1" eb="3">
      <t>シュウニュウ</t>
    </rPh>
    <phoneticPr fontId="3"/>
  </si>
  <si>
    <t>収入×90％—110万</t>
    <rPh sb="0" eb="2">
      <t>シュウニュウ</t>
    </rPh>
    <rPh sb="10" eb="11">
      <t>マン</t>
    </rPh>
    <phoneticPr fontId="3"/>
  </si>
  <si>
    <t>-195万</t>
    <rPh sb="4" eb="5">
      <t>マン</t>
    </rPh>
    <phoneticPr fontId="3"/>
  </si>
  <si>
    <t>国　民　健　康　保　険　税　額　試　算　表　（令和8年度版）</t>
    <rPh sb="0" eb="1">
      <t>クニ</t>
    </rPh>
    <rPh sb="2" eb="3">
      <t>ミン</t>
    </rPh>
    <rPh sb="4" eb="5">
      <t>ケン</t>
    </rPh>
    <rPh sb="6" eb="7">
      <t>ヤスシ</t>
    </rPh>
    <rPh sb="8" eb="9">
      <t>ホ</t>
    </rPh>
    <rPh sb="10" eb="11">
      <t>ケン</t>
    </rPh>
    <rPh sb="12" eb="13">
      <t>ゼイ</t>
    </rPh>
    <rPh sb="14" eb="15">
      <t>ガク</t>
    </rPh>
    <rPh sb="16" eb="17">
      <t>タメシ</t>
    </rPh>
    <rPh sb="18" eb="19">
      <t>サン</t>
    </rPh>
    <rPh sb="20" eb="21">
      <t>ヒョウ</t>
    </rPh>
    <rPh sb="23" eb="25">
      <t>レイワ</t>
    </rPh>
    <rPh sb="26" eb="27">
      <t>ネン</t>
    </rPh>
    <rPh sb="27" eb="28">
      <t>ド</t>
    </rPh>
    <rPh sb="28" eb="29">
      <t>バン</t>
    </rPh>
    <phoneticPr fontId="3"/>
  </si>
  <si>
    <t>　　</t>
    <phoneticPr fontId="3"/>
  </si>
  <si>
    <t>令和8年度所沢市
国民健康保険税試算表</t>
    <rPh sb="0" eb="2">
      <t>レイワ</t>
    </rPh>
    <rPh sb="3" eb="5">
      <t>ネンド</t>
    </rPh>
    <rPh sb="5" eb="8">
      <t>トコロザワシ</t>
    </rPh>
    <rPh sb="9" eb="11">
      <t>コクミン</t>
    </rPh>
    <rPh sb="11" eb="13">
      <t>ケンコウ</t>
    </rPh>
    <rPh sb="13" eb="15">
      <t>ホケン</t>
    </rPh>
    <rPh sb="15" eb="16">
      <t>ゼイ</t>
    </rPh>
    <rPh sb="16" eb="18">
      <t>シサン</t>
    </rPh>
    <rPh sb="18" eb="19">
      <t>ヒョウ</t>
    </rPh>
    <phoneticPr fontId="3"/>
  </si>
  <si>
    <t>①給与収入</t>
    <rPh sb="1" eb="3">
      <t>キュウヨ</t>
    </rPh>
    <rPh sb="3" eb="5">
      <t>シュウニュウ</t>
    </rPh>
    <phoneticPr fontId="3"/>
  </si>
  <si>
    <t>②年金収入</t>
    <rPh sb="1" eb="3">
      <t>ネンキン</t>
    </rPh>
    <rPh sb="3" eb="5">
      <t>シュウニュウ</t>
    </rPh>
    <phoneticPr fontId="3"/>
  </si>
  <si>
    <t>③その他の所得</t>
    <rPh sb="3" eb="4">
      <t>タ</t>
    </rPh>
    <rPh sb="5" eb="7">
      <t>ショトク</t>
    </rPh>
    <phoneticPr fontId="3"/>
  </si>
  <si>
    <t>所得割</t>
    <rPh sb="0" eb="2">
      <t>ショトク</t>
    </rPh>
    <rPh sb="2" eb="3">
      <t>ワリ</t>
    </rPh>
    <phoneticPr fontId="3"/>
  </si>
  <si>
    <t>小計</t>
    <rPh sb="0" eb="2">
      <t>ショウケイ</t>
    </rPh>
    <phoneticPr fontId="3"/>
  </si>
  <si>
    <t>年間の税額</t>
    <rPh sb="0" eb="2">
      <t>ネンカン</t>
    </rPh>
    <rPh sb="3" eb="5">
      <t>ゼイガク</t>
    </rPh>
    <phoneticPr fontId="3"/>
  </si>
  <si>
    <t>（内訳）</t>
    <rPh sb="1" eb="3">
      <t>ウチワケ</t>
    </rPh>
    <phoneticPr fontId="3"/>
  </si>
  <si>
    <r>
      <rPr>
        <sz val="11"/>
        <rFont val="ＭＳ Ｐゴシック"/>
        <family val="3"/>
        <charset val="128"/>
      </rPr>
      <t>国保1回分の請求額</t>
    </r>
    <r>
      <rPr>
        <sz val="11"/>
        <color indexed="12"/>
        <rFont val="ＭＳ Ｐゴシック"/>
        <family val="3"/>
        <charset val="128"/>
      </rPr>
      <t xml:space="preserve">
（８回払いの場合）</t>
    </r>
    <rPh sb="0" eb="2">
      <t>コクホ</t>
    </rPh>
    <rPh sb="3" eb="4">
      <t>カイ</t>
    </rPh>
    <rPh sb="4" eb="5">
      <t>ブン</t>
    </rPh>
    <rPh sb="6" eb="8">
      <t>セイキュウ</t>
    </rPh>
    <rPh sb="8" eb="9">
      <t>ガク</t>
    </rPh>
    <rPh sb="12" eb="13">
      <t>カイ</t>
    </rPh>
    <rPh sb="13" eb="14">
      <t>バラ</t>
    </rPh>
    <rPh sb="16" eb="18">
      <t>バアイ</t>
    </rPh>
    <phoneticPr fontId="3"/>
  </si>
  <si>
    <t>賦課限度額超過</t>
    <rPh sb="0" eb="2">
      <t>フカ</t>
    </rPh>
    <rPh sb="2" eb="4">
      <t>ゲンド</t>
    </rPh>
    <rPh sb="4" eb="5">
      <t>ガク</t>
    </rPh>
    <rPh sb="5" eb="7">
      <t>チョウカ</t>
    </rPh>
    <phoneticPr fontId="3"/>
  </si>
  <si>
    <t>「所得金額等」の「合計」⑫に記載されている金額を入力欄の「③その他の所得」に入力します。</t>
    <rPh sb="1" eb="3">
      <t>ショトク</t>
    </rPh>
    <rPh sb="3" eb="5">
      <t>キンガク</t>
    </rPh>
    <rPh sb="5" eb="6">
      <t>トウ</t>
    </rPh>
    <rPh sb="9" eb="11">
      <t>ゴウケイ</t>
    </rPh>
    <rPh sb="14" eb="16">
      <t>キサイ</t>
    </rPh>
    <rPh sb="21" eb="23">
      <t>キンガク</t>
    </rPh>
    <rPh sb="24" eb="26">
      <t>ニュウリョク</t>
    </rPh>
    <rPh sb="26" eb="27">
      <t>ラン</t>
    </rPh>
    <rPh sb="32" eb="33">
      <t>タ</t>
    </rPh>
    <rPh sb="34" eb="36">
      <t>ショトク</t>
    </rPh>
    <rPh sb="38" eb="40">
      <t>ニュウリョク</t>
    </rPh>
    <phoneticPr fontId="3"/>
  </si>
  <si>
    <t>※</t>
    <phoneticPr fontId="3"/>
  </si>
  <si>
    <t>給与・年金所得がある方が確定申告書を提出している場合には、「①給与収入」、「②年金収入」欄は入力せずに、「③その他の所得」欄に確定申告書の所得金額の「所得金額等」の「合計」⑫に記載されている金額を入力してください。</t>
    <rPh sb="0" eb="2">
      <t>キュウヨ</t>
    </rPh>
    <rPh sb="3" eb="5">
      <t>ネンキン</t>
    </rPh>
    <rPh sb="5" eb="7">
      <t>ショトク</t>
    </rPh>
    <rPh sb="10" eb="11">
      <t>カタ</t>
    </rPh>
    <rPh sb="12" eb="14">
      <t>カクテイ</t>
    </rPh>
    <rPh sb="14" eb="16">
      <t>シンコク</t>
    </rPh>
    <rPh sb="16" eb="17">
      <t>ショ</t>
    </rPh>
    <rPh sb="18" eb="20">
      <t>テイシュツ</t>
    </rPh>
    <rPh sb="24" eb="26">
      <t>バアイ</t>
    </rPh>
    <rPh sb="31" eb="33">
      <t>キュウヨ</t>
    </rPh>
    <rPh sb="33" eb="35">
      <t>シュウニュウ</t>
    </rPh>
    <rPh sb="39" eb="41">
      <t>ネンキン</t>
    </rPh>
    <rPh sb="41" eb="43">
      <t>シュウニュウ</t>
    </rPh>
    <rPh sb="44" eb="45">
      <t>ラン</t>
    </rPh>
    <rPh sb="46" eb="48">
      <t>ニュウリョク</t>
    </rPh>
    <rPh sb="56" eb="57">
      <t>タ</t>
    </rPh>
    <rPh sb="58" eb="60">
      <t>ショトク</t>
    </rPh>
    <rPh sb="61" eb="62">
      <t>ラン</t>
    </rPh>
    <rPh sb="63" eb="65">
      <t>カクテイ</t>
    </rPh>
    <rPh sb="65" eb="67">
      <t>シンコク</t>
    </rPh>
    <rPh sb="67" eb="68">
      <t>ショ</t>
    </rPh>
    <rPh sb="69" eb="71">
      <t>ショトク</t>
    </rPh>
    <rPh sb="71" eb="73">
      <t>キンガク</t>
    </rPh>
    <rPh sb="75" eb="77">
      <t>ショトク</t>
    </rPh>
    <rPh sb="77" eb="79">
      <t>キンガク</t>
    </rPh>
    <rPh sb="79" eb="80">
      <t>トウ</t>
    </rPh>
    <rPh sb="83" eb="85">
      <t>ゴウケイ</t>
    </rPh>
    <rPh sb="88" eb="90">
      <t>キサイ</t>
    </rPh>
    <rPh sb="95" eb="97">
      <t>キンガク</t>
    </rPh>
    <rPh sb="98" eb="100">
      <t>ニュウリョク</t>
    </rPh>
    <phoneticPr fontId="3"/>
  </si>
  <si>
    <t>※ 退職所得は国保税の算定には関係ありませんので入力する必要はありません。</t>
    <rPh sb="2" eb="4">
      <t>タイショク</t>
    </rPh>
    <rPh sb="4" eb="6">
      <t>ショトク</t>
    </rPh>
    <rPh sb="7" eb="9">
      <t>コクホ</t>
    </rPh>
    <rPh sb="9" eb="10">
      <t>ゼイ</t>
    </rPh>
    <rPh sb="11" eb="13">
      <t>サンテイ</t>
    </rPh>
    <rPh sb="15" eb="17">
      <t>カンケイ</t>
    </rPh>
    <rPh sb="24" eb="26">
      <t>ニュウリョク</t>
    </rPh>
    <rPh sb="28" eb="30">
      <t>ヒツヨウ</t>
    </rPh>
    <phoneticPr fontId="3"/>
  </si>
  <si>
    <t>●　給与の源泉徴収票の場合</t>
    <rPh sb="2" eb="4">
      <t>キュウヨ</t>
    </rPh>
    <rPh sb="5" eb="7">
      <t>ゲンセン</t>
    </rPh>
    <rPh sb="7" eb="10">
      <t>チョウシュウヒョウ</t>
    </rPh>
    <rPh sb="11" eb="13">
      <t>バアイ</t>
    </rPh>
    <phoneticPr fontId="3"/>
  </si>
  <si>
    <t>●　年金の源泉徴収票の場合</t>
    <rPh sb="2" eb="4">
      <t>ネンキン</t>
    </rPh>
    <rPh sb="5" eb="7">
      <t>ゲンセン</t>
    </rPh>
    <rPh sb="7" eb="10">
      <t>チョウシュウヒョウ</t>
    </rPh>
    <rPh sb="11" eb="13">
      <t>バアイ</t>
    </rPh>
    <phoneticPr fontId="3"/>
  </si>
  <si>
    <t>源泉徴収票の「支払金額」に記載されている金額を入力欄の「②年金収入」欄に入力します。遺族年金、障害年金は除いてください。
※複数個所から給与を受け取っている場合はすべて合計した金額を入力してください。</t>
    <phoneticPr fontId="3"/>
  </si>
  <si>
    <t>●　確定申告書の場合</t>
    <rPh sb="2" eb="4">
      <t>カクテイ</t>
    </rPh>
    <rPh sb="4" eb="6">
      <t>シンコク</t>
    </rPh>
    <rPh sb="6" eb="7">
      <t>ショ</t>
    </rPh>
    <rPh sb="8" eb="10">
      <t>バアイ</t>
    </rPh>
    <phoneticPr fontId="3"/>
  </si>
  <si>
    <r>
      <t xml:space="preserve">年齢
</t>
    </r>
    <r>
      <rPr>
        <b/>
        <sz val="12"/>
        <color indexed="56"/>
        <rFont val="ＭＳ Ｐゴシック"/>
        <family val="3"/>
        <charset val="128"/>
      </rPr>
      <t>（R8.1.1時点）</t>
    </r>
    <rPh sb="0" eb="2">
      <t>ネンレイ</t>
    </rPh>
    <rPh sb="10" eb="12">
      <t>ジテン</t>
    </rPh>
    <phoneticPr fontId="3"/>
  </si>
  <si>
    <t>　</t>
  </si>
  <si>
    <t>子ども・子育て分</t>
    <rPh sb="0" eb="1">
      <t>コ</t>
    </rPh>
    <rPh sb="4" eb="6">
      <t>コソダ</t>
    </rPh>
    <rPh sb="7" eb="8">
      <t>ブン</t>
    </rPh>
    <phoneticPr fontId="3"/>
  </si>
  <si>
    <t>１ヶ月あたりの額</t>
    <phoneticPr fontId="3"/>
  </si>
  <si>
    <t>【はじめに】</t>
    <phoneticPr fontId="3"/>
  </si>
  <si>
    <t>【入力方法】</t>
    <rPh sb="1" eb="3">
      <t>ニュウリョク</t>
    </rPh>
    <rPh sb="3" eb="5">
      <t>ホウホウ</t>
    </rPh>
    <phoneticPr fontId="3"/>
  </si>
  <si>
    <t>※ 試算結果は概算額のため実際の国保税額と異なる場合があります。</t>
    <rPh sb="2" eb="4">
      <t>シサン</t>
    </rPh>
    <rPh sb="4" eb="6">
      <t>ケッカ</t>
    </rPh>
    <rPh sb="7" eb="9">
      <t>ガイサン</t>
    </rPh>
    <rPh sb="9" eb="10">
      <t>ガク</t>
    </rPh>
    <rPh sb="13" eb="15">
      <t>ジッサイ</t>
    </rPh>
    <rPh sb="16" eb="18">
      <t>コクホ</t>
    </rPh>
    <rPh sb="18" eb="20">
      <t>ゼイガク</t>
    </rPh>
    <rPh sb="21" eb="22">
      <t>コト</t>
    </rPh>
    <rPh sb="24" eb="26">
      <t>バアイ</t>
    </rPh>
    <phoneticPr fontId="3"/>
  </si>
  <si>
    <t>1 収入がない方や乳幼児も含めて加入者全員分の年齢を入力してください。</t>
    <rPh sb="2" eb="4">
      <t>シュウニュウ</t>
    </rPh>
    <rPh sb="7" eb="8">
      <t>カタ</t>
    </rPh>
    <rPh sb="9" eb="12">
      <t>ニュウヨウジ</t>
    </rPh>
    <rPh sb="13" eb="14">
      <t>フク</t>
    </rPh>
    <rPh sb="16" eb="18">
      <t>カニュウ</t>
    </rPh>
    <rPh sb="18" eb="19">
      <t>シャ</t>
    </rPh>
    <rPh sb="19" eb="21">
      <t>ゼンイン</t>
    </rPh>
    <rPh sb="21" eb="22">
      <t>ブン</t>
    </rPh>
    <rPh sb="23" eb="25">
      <t>ネンレイ</t>
    </rPh>
    <rPh sb="26" eb="28">
      <t>ニュウリョク</t>
    </rPh>
    <phoneticPr fontId="3"/>
  </si>
  <si>
    <t>2 年齢…加入される方の令和8年1月1日時点での年齢を選んでください。</t>
    <phoneticPr fontId="3"/>
  </si>
  <si>
    <t xml:space="preserve">   ※　令和8年1月～4月の間19歳を迎える方は、「19歳以上40歳未満」としてください。 </t>
    <phoneticPr fontId="3"/>
  </si>
  <si>
    <t xml:space="preserve">       令和8年1月～4月の間40歳を迎える方は、「40歳以上65歳未満」としてください。</t>
    <phoneticPr fontId="3"/>
  </si>
  <si>
    <t>　     令和7年5月～令和8年3月の間に40歳を迎える方は、</t>
    <phoneticPr fontId="3"/>
  </si>
  <si>
    <t>　     「19歳以上40歳未満」の税額と「40歳以上65歳未満」の税額をそれぞれ加入月数で算出し、合算して試算してください。</t>
    <phoneticPr fontId="3"/>
  </si>
  <si>
    <t>3 前年中（令和７年１月～１２月）の収入または所得で入力してください。</t>
    <rPh sb="2" eb="5">
      <t>ゼンネンチュウ</t>
    </rPh>
    <rPh sb="6" eb="8">
      <t>レイワ</t>
    </rPh>
    <rPh sb="9" eb="10">
      <t>ネン</t>
    </rPh>
    <rPh sb="11" eb="12">
      <t>ガツ</t>
    </rPh>
    <rPh sb="15" eb="16">
      <t>ガツ</t>
    </rPh>
    <rPh sb="18" eb="20">
      <t>シュウニュウ</t>
    </rPh>
    <rPh sb="23" eb="25">
      <t>ショトク</t>
    </rPh>
    <rPh sb="26" eb="28">
      <t>ニュウリョク</t>
    </rPh>
    <phoneticPr fontId="3"/>
  </si>
  <si>
    <t xml:space="preserve">  ・確定申告された方は、「●確定申告の場合」をご参照ください。</t>
    <rPh sb="3" eb="5">
      <t>カクテイ</t>
    </rPh>
    <rPh sb="5" eb="7">
      <t>シンコク</t>
    </rPh>
    <rPh sb="10" eb="11">
      <t>カタ</t>
    </rPh>
    <rPh sb="15" eb="17">
      <t>カクテイ</t>
    </rPh>
    <rPh sb="17" eb="19">
      <t>シンコク</t>
    </rPh>
    <rPh sb="20" eb="22">
      <t>バアイ</t>
    </rPh>
    <rPh sb="25" eb="27">
      <t>サンショウ</t>
    </rPh>
    <phoneticPr fontId="3"/>
  </si>
  <si>
    <t xml:space="preserve">  ・給与収入のある方は、「●給与の源泉徴収票の場合」をご参照ください。</t>
    <rPh sb="3" eb="5">
      <t>キュウヨ</t>
    </rPh>
    <rPh sb="5" eb="7">
      <t>シュウニュウ</t>
    </rPh>
    <rPh sb="10" eb="11">
      <t>カタ</t>
    </rPh>
    <rPh sb="29" eb="31">
      <t>サンショウ</t>
    </rPh>
    <phoneticPr fontId="3"/>
  </si>
  <si>
    <t xml:space="preserve">  ・年金収入のある方は、「●年金の源泉徴収票の場合」をご参照ください。</t>
    <rPh sb="3" eb="5">
      <t>ネンキン</t>
    </rPh>
    <rPh sb="5" eb="7">
      <t>シュウニュウ</t>
    </rPh>
    <rPh sb="10" eb="11">
      <t>カタ</t>
    </rPh>
    <rPh sb="15" eb="17">
      <t>ネンキン</t>
    </rPh>
    <rPh sb="29" eb="31">
      <t>サンショウ</t>
    </rPh>
    <phoneticPr fontId="3"/>
  </si>
  <si>
    <t>4 １年間の国保税額及び１カ月あたりの国保税額等が試算されます。</t>
    <rPh sb="3" eb="5">
      <t>ネンカン</t>
    </rPh>
    <rPh sb="6" eb="8">
      <t>コクホ</t>
    </rPh>
    <rPh sb="8" eb="10">
      <t>ゼイガク</t>
    </rPh>
    <rPh sb="10" eb="11">
      <t>オヨ</t>
    </rPh>
    <rPh sb="14" eb="15">
      <t>ゲツ</t>
    </rPh>
    <rPh sb="19" eb="21">
      <t>コクホ</t>
    </rPh>
    <rPh sb="21" eb="23">
      <t>ゼイガク</t>
    </rPh>
    <rPh sb="23" eb="24">
      <t>トウ</t>
    </rPh>
    <rPh sb="25" eb="27">
      <t>シサン</t>
    </rPh>
    <phoneticPr fontId="3"/>
  </si>
  <si>
    <t>※ 譲渡所得など分離課税所得がある場合には対応できないことから、</t>
    <rPh sb="2" eb="4">
      <t>ジョウト</t>
    </rPh>
    <rPh sb="4" eb="6">
      <t>ショトク</t>
    </rPh>
    <rPh sb="8" eb="10">
      <t>ブンリ</t>
    </rPh>
    <rPh sb="10" eb="12">
      <t>カゼイ</t>
    </rPh>
    <rPh sb="12" eb="14">
      <t>ショトク</t>
    </rPh>
    <rPh sb="17" eb="19">
      <t>バアイ</t>
    </rPh>
    <rPh sb="21" eb="23">
      <t>タイオウ</t>
    </rPh>
    <phoneticPr fontId="3"/>
  </si>
  <si>
    <t>　 国民健康保険課（☎　04-2998-9131）までお電話にてお問い合わせください。</t>
    <rPh sb="28" eb="30">
      <t>デンワ</t>
    </rPh>
    <phoneticPr fontId="3"/>
  </si>
  <si>
    <t xml:space="preserve">
源泉徴収票の「支払金額」に記載されている金額を入力欄の「①給与収入」欄に入力します。
※複数個所から給与を受け取っている場合はすべて合計した金額を入力してください。</t>
    <rPh sb="1" eb="3">
      <t>ゲンセン</t>
    </rPh>
    <rPh sb="3" eb="6">
      <t>チョウシュウヒョウ</t>
    </rPh>
    <rPh sb="8" eb="10">
      <t>シハライ</t>
    </rPh>
    <rPh sb="10" eb="12">
      <t>キンガク</t>
    </rPh>
    <rPh sb="14" eb="16">
      <t>キサイ</t>
    </rPh>
    <rPh sb="21" eb="23">
      <t>キンガク</t>
    </rPh>
    <rPh sb="24" eb="26">
      <t>ニュウリョク</t>
    </rPh>
    <rPh sb="26" eb="27">
      <t>ラン</t>
    </rPh>
    <rPh sb="30" eb="32">
      <t>キュウヨ</t>
    </rPh>
    <rPh sb="32" eb="34">
      <t>シュウニュウ</t>
    </rPh>
    <rPh sb="35" eb="36">
      <t>ラン</t>
    </rPh>
    <rPh sb="37" eb="39">
      <t>ニュウリョク</t>
    </rPh>
    <rPh sb="46" eb="48">
      <t>フクスウ</t>
    </rPh>
    <rPh sb="48" eb="50">
      <t>カショ</t>
    </rPh>
    <rPh sb="52" eb="54">
      <t>キュウヨ</t>
    </rPh>
    <rPh sb="55" eb="56">
      <t>ウ</t>
    </rPh>
    <rPh sb="57" eb="58">
      <t>ト</t>
    </rPh>
    <rPh sb="62" eb="64">
      <t>バアイ</t>
    </rPh>
    <rPh sb="68" eb="70">
      <t>ゴウケイ</t>
    </rPh>
    <rPh sb="72" eb="74">
      <t>キンガク</t>
    </rPh>
    <rPh sb="75" eb="77">
      <t>ニュウリョク</t>
    </rPh>
    <phoneticPr fontId="3"/>
  </si>
  <si>
    <r>
      <rPr>
        <b/>
        <u/>
        <sz val="10"/>
        <rFont val="ＭＳ Ｐゴシック"/>
        <family val="3"/>
        <charset val="128"/>
      </rPr>
      <t>・この試算は概算ですので、実際の国保税額と異なる場合があります。</t>
    </r>
    <r>
      <rPr>
        <sz val="10"/>
        <rFont val="ＭＳ Ｐゴシック"/>
        <family val="3"/>
        <charset val="128"/>
      </rPr>
      <t xml:space="preserve">
・世帯の前年所得が一定基準以下に該当し、低所得者の軽減措置が受けられる場合には、試算結果より保険税額が安くなることがあります。
・雇用保険の特定受給資格者等に該当し、非自発的失業者の軽減措置が受けられる場合には、計算方法が変わります。前年の給与所得を30/100として計算する軽減が受けられますので、国民健康保険課（☎04-2998-9131）までお問い合わせください。(ただし離職時65歳以上の方や、短期雇用の方等は対象外です。)
・給与収入が850万超の方の所得金額調整控除の計算が対応できないことから、試算結果より国保税額の誤差が生じることがあります。
・世帯内に未就学児がいる場合には、当該未就学児の均等割が半額に減額されるため、試算結果より国保税額が安くなることがあります。
・「任意継続と比較する額」は、社会保険の任意継続の保険料と比較するために、年税額を12(ヵ月)で割り、1か月あたりの額を算出したものであり、国保税1回分の請求額（12ヵ月分の国保税を8回払い）とは一致しません。
・社会保険の任意継続保険料と比べて、国保税額の試算結果の方が安い場合でも、保険給付における判定が変わることにより
　〇医療費の自己負担割合2割→3割へ上がる（70歳以上の方）
　〇高額療養費制度の1か月あたりの自己負担限度額が上がる（全ての年齢の方）
ことがあり、制度による有利不利が一概に言えない場合があります。
</t>
    </r>
    <rPh sb="3" eb="5">
      <t>シサン</t>
    </rPh>
    <rPh sb="6" eb="8">
      <t>ガイサン</t>
    </rPh>
    <rPh sb="13" eb="15">
      <t>ジッサイ</t>
    </rPh>
    <rPh sb="16" eb="18">
      <t>コクホ</t>
    </rPh>
    <rPh sb="18" eb="20">
      <t>ゼイガク</t>
    </rPh>
    <rPh sb="21" eb="22">
      <t>コト</t>
    </rPh>
    <rPh sb="24" eb="26">
      <t>バアイ</t>
    </rPh>
    <rPh sb="35" eb="37">
      <t>セタイ</t>
    </rPh>
    <rPh sb="38" eb="40">
      <t>ゼンネン</t>
    </rPh>
    <rPh sb="40" eb="42">
      <t>ショトク</t>
    </rPh>
    <rPh sb="43" eb="45">
      <t>イッテイ</t>
    </rPh>
    <rPh sb="45" eb="47">
      <t>キジュン</t>
    </rPh>
    <rPh sb="47" eb="49">
      <t>イカ</t>
    </rPh>
    <rPh sb="50" eb="52">
      <t>ガイトウ</t>
    </rPh>
    <rPh sb="54" eb="57">
      <t>テイショトク</t>
    </rPh>
    <rPh sb="57" eb="58">
      <t>シャ</t>
    </rPh>
    <rPh sb="59" eb="61">
      <t>ケイゲン</t>
    </rPh>
    <rPh sb="61" eb="63">
      <t>ソチ</t>
    </rPh>
    <rPh sb="185" eb="187">
      <t>コクミン</t>
    </rPh>
    <rPh sb="187" eb="189">
      <t>ケンコウ</t>
    </rPh>
    <rPh sb="189" eb="191">
      <t>ホケン</t>
    </rPh>
    <rPh sb="191" eb="192">
      <t>カ</t>
    </rPh>
    <rPh sb="210" eb="211">
      <t>ト</t>
    </rPh>
    <rPh sb="212" eb="213">
      <t>ア</t>
    </rPh>
    <rPh sb="279" eb="281">
      <t>タイオウ</t>
    </rPh>
    <rPh sb="290" eb="292">
      <t>シサン</t>
    </rPh>
    <rPh sb="292" eb="294">
      <t>ケッカ</t>
    </rPh>
    <rPh sb="296" eb="298">
      <t>コクホ</t>
    </rPh>
    <rPh sb="298" eb="299">
      <t>ゼイ</t>
    </rPh>
    <rPh sb="299" eb="300">
      <t>ガク</t>
    </rPh>
    <rPh sb="301" eb="303">
      <t>ゴサ</t>
    </rPh>
    <rPh sb="304" eb="305">
      <t>ショウ</t>
    </rPh>
    <rPh sb="362" eb="364">
      <t>コクホ</t>
    </rPh>
    <rPh sb="396" eb="398">
      <t>シャカイ</t>
    </rPh>
    <rPh sb="398" eb="400">
      <t>ホケン</t>
    </rPh>
    <rPh sb="453" eb="454">
      <t>ゼイ</t>
    </rPh>
    <rPh sb="468" eb="470">
      <t>コクホ</t>
    </rPh>
    <rPh sb="506" eb="508">
      <t>コクホ</t>
    </rPh>
    <phoneticPr fontId="3"/>
  </si>
  <si>
    <t xml:space="preserve">
・所沢市では地方税法に基づいて計算しており、国民健康保険の加入者の方にご負担いただく費用は「国民健康保険税」となります。
・国保税は、世帯単位となり、世帯主が納税義務者となります。
　　→国保税は、加入者ごとに計算したものを世帯単位で合算し、世帯主宛に納税通知書等を送付いたします。
・国保税の金額は、年度単位（４月から翌年３月）までとなり、加入者の人数、年齢、前年の所得、世帯構成を元に計算いたします。
　　→扶養という概念がなく、加入者一人ひとりに国保税がかかります。
　　→前年の所得に基づく「所得割」、人数に応じた「均等割」がかかります。
・国保税の納期は、普通徴収の場合、７月から翌年２月までの８期（回）となり、ご加入の届出を行った月に応じて、保険税を納める
　回数が変わります。
　　→このため、国保税の１期（回）分の額と、１か月分の保険税は一致いたしません。
</t>
    <rPh sb="4" eb="7">
      <t>トコロザワシ</t>
    </rPh>
    <rPh sb="9" eb="12">
      <t>チホウゼイ</t>
    </rPh>
    <rPh sb="12" eb="13">
      <t>ホウ</t>
    </rPh>
    <rPh sb="14" eb="15">
      <t>モト</t>
    </rPh>
    <rPh sb="18" eb="20">
      <t>ケイサン</t>
    </rPh>
    <rPh sb="25" eb="27">
      <t>コクミン</t>
    </rPh>
    <rPh sb="27" eb="29">
      <t>ケンコウ</t>
    </rPh>
    <rPh sb="29" eb="31">
      <t>ホケン</t>
    </rPh>
    <rPh sb="32" eb="35">
      <t>カニュウシャ</t>
    </rPh>
    <rPh sb="36" eb="37">
      <t>カタ</t>
    </rPh>
    <rPh sb="39" eb="41">
      <t>フタン</t>
    </rPh>
    <rPh sb="45" eb="47">
      <t>ヒヨウ</t>
    </rPh>
    <rPh sb="49" eb="51">
      <t>コクミン</t>
    </rPh>
    <rPh sb="51" eb="53">
      <t>ケンコウ</t>
    </rPh>
    <rPh sb="53" eb="55">
      <t>ホケン</t>
    </rPh>
    <rPh sb="55" eb="56">
      <t>ゼイ</t>
    </rPh>
    <rPh sb="71" eb="73">
      <t>タンイ</t>
    </rPh>
    <rPh sb="126" eb="127">
      <t>アテ</t>
    </rPh>
    <rPh sb="128" eb="133">
      <t>ノウゼイツウチショ</t>
    </rPh>
    <rPh sb="133" eb="134">
      <t>トウ</t>
    </rPh>
    <rPh sb="135" eb="137">
      <t>ソウフ</t>
    </rPh>
    <phoneticPr fontId="3"/>
  </si>
  <si>
    <t>下の青いボタンをクリックすると「入力方法」のページへ移動します。</t>
    <rPh sb="0" eb="1">
      <t>シタ</t>
    </rPh>
    <rPh sb="2" eb="3">
      <t>アオ</t>
    </rPh>
    <rPh sb="16" eb="18">
      <t>ニュウリョク</t>
    </rPh>
    <rPh sb="18" eb="20">
      <t>ホウホウ</t>
    </rPh>
    <rPh sb="26" eb="28">
      <t>イドウ</t>
    </rPh>
    <phoneticPr fontId="3"/>
  </si>
  <si>
    <t>下の青いボタンをクリックすると「国保税の試算シート」のページへ移動します。</t>
    <rPh sb="0" eb="1">
      <t>シタ</t>
    </rPh>
    <rPh sb="2" eb="3">
      <t>アオ</t>
    </rPh>
    <rPh sb="16" eb="18">
      <t>コクホ</t>
    </rPh>
    <rPh sb="18" eb="19">
      <t>ゼイ</t>
    </rPh>
    <rPh sb="20" eb="22">
      <t>シサン</t>
    </rPh>
    <rPh sb="31" eb="33">
      <t>イドウ</t>
    </rPh>
    <phoneticPr fontId="3"/>
  </si>
  <si>
    <t>１人目</t>
    <rPh sb="0" eb="2">
      <t>ヒトリ</t>
    </rPh>
    <rPh sb="2" eb="3">
      <t>メ</t>
    </rPh>
    <phoneticPr fontId="3"/>
  </si>
  <si>
    <t>２人目</t>
    <rPh sb="1" eb="2">
      <t>ヒト</t>
    </rPh>
    <rPh sb="2" eb="3">
      <t>メ</t>
    </rPh>
    <phoneticPr fontId="3"/>
  </si>
  <si>
    <t>３人目</t>
    <rPh sb="1" eb="2">
      <t>ニン</t>
    </rPh>
    <rPh sb="2" eb="3">
      <t>メ</t>
    </rPh>
    <phoneticPr fontId="3"/>
  </si>
  <si>
    <t>４人目</t>
    <rPh sb="1" eb="2">
      <t>ニン</t>
    </rPh>
    <rPh sb="2" eb="3">
      <t>メ</t>
    </rPh>
    <phoneticPr fontId="3"/>
  </si>
  <si>
    <t>５人目</t>
    <rPh sb="1" eb="2">
      <t>ニン</t>
    </rPh>
    <rPh sb="2" eb="3">
      <t>メ</t>
    </rPh>
    <phoneticPr fontId="3"/>
  </si>
  <si>
    <t>　</t>
    <phoneticPr fontId="3"/>
  </si>
  <si>
    <r>
      <t>令和8年度の試算に対応しています。　</t>
    </r>
    <r>
      <rPr>
        <b/>
        <sz val="16"/>
        <color indexed="10"/>
        <rFont val="ＭＳ Ｐゴシック"/>
        <family val="3"/>
        <charset val="128"/>
      </rPr>
      <t>※7年度以前には対応していません。</t>
    </r>
    <phoneticPr fontId="3"/>
  </si>
  <si>
    <t>下の「次へ」をクリックすると「収入・所得の入力について」へ移動します。</t>
    <rPh sb="0" eb="1">
      <t>シタ</t>
    </rPh>
    <rPh sb="3" eb="4">
      <t>ツギ</t>
    </rPh>
    <rPh sb="15" eb="17">
      <t>シュウニュウ</t>
    </rPh>
    <rPh sb="18" eb="20">
      <t>ショトク</t>
    </rPh>
    <rPh sb="21" eb="23">
      <t>ニュウリョク</t>
    </rPh>
    <rPh sb="29" eb="31">
      <t>イドウ</t>
    </rPh>
    <phoneticPr fontId="3"/>
  </si>
  <si>
    <t>下の「次へ」をクリックすると「入力シート」へ移動します。</t>
    <rPh sb="0" eb="1">
      <t>シタ</t>
    </rPh>
    <rPh sb="3" eb="4">
      <t>ツギ</t>
    </rPh>
    <rPh sb="15" eb="17">
      <t>ニュウリョク</t>
    </rPh>
    <rPh sb="22" eb="24">
      <t>イドウ</t>
    </rPh>
    <phoneticPr fontId="3"/>
  </si>
  <si>
    <t>下の「戻る」をクリックすると「はじめに」へ移動します。</t>
    <rPh sb="0" eb="1">
      <t>シタ</t>
    </rPh>
    <rPh sb="3" eb="4">
      <t>モド</t>
    </rPh>
    <rPh sb="21" eb="23">
      <t>イドウ</t>
    </rPh>
    <phoneticPr fontId="3"/>
  </si>
  <si>
    <t>右の「戻る」をクリックすると「収入・所得の入力について」へ移動します。</t>
    <rPh sb="0" eb="1">
      <t>ミギ</t>
    </rPh>
    <rPh sb="15" eb="17">
      <t>シュウニュウ</t>
    </rPh>
    <rPh sb="18" eb="20">
      <t>ショトク</t>
    </rPh>
    <rPh sb="21" eb="23">
      <t>ニュウリョク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</si>
</sst>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411]ggge&quot;年&quot;m&quot;月&quot;d&quot;日&quot;;@"/>
    <numFmt numFmtId="177" formatCode="#,##0_ "/>
    <numFmt numFmtId="178" formatCode="&quot;約 &quot;#,##0"/>
    <numFmt numFmtId="179" formatCode="General&quot; 歳&quot;"/>
    <numFmt numFmtId="180" formatCode="General&quot; 名&quot;"/>
    <numFmt numFmtId="181" formatCode="&quot;介護2号該当&quot;\ General&quot; 名&quot;"/>
  </numFmts>
  <fonts count="59" x14ac:knownFonts="1">
    <font>
      <sz val="11"/>
      <name val="ＭＳ ゴシック"/>
      <family val="3"/>
      <charset val="128"/>
    </font>
    <font>
      <sz val="11"/>
      <name val="ＭＳ ゴシック"/>
      <family val="3"/>
      <charset val="128"/>
    </font>
    <font>
      <sz val="11"/>
      <name val="ＭＳ ゴシック"/>
      <family val="3"/>
      <charset val="128"/>
    </font>
    <font>
      <sz val="6"/>
      <name val="ＭＳ ゴシック"/>
      <family val="3"/>
      <charset val="128"/>
    </font>
    <font>
      <sz val="16"/>
      <name val="ＭＳ ゴシック"/>
      <family val="3"/>
      <charset val="128"/>
    </font>
    <font>
      <sz val="12"/>
      <name val="ＭＳ ゴシック"/>
      <family val="3"/>
      <charset val="128"/>
    </font>
    <font>
      <sz val="14"/>
      <name val="ＭＳ ゴシック"/>
      <family val="3"/>
      <charset val="128"/>
    </font>
    <font>
      <sz val="11"/>
      <color indexed="12"/>
      <name val="ＭＳ ゴシック"/>
      <family val="3"/>
      <charset val="128"/>
    </font>
    <font>
      <sz val="20"/>
      <name val="ＭＳ ゴシック"/>
      <family val="3"/>
      <charset val="128"/>
    </font>
    <font>
      <sz val="10"/>
      <name val="ＭＳ ゴシック"/>
      <family val="3"/>
      <charset val="128"/>
    </font>
    <font>
      <sz val="9"/>
      <name val="ＭＳ ゴシック"/>
      <family val="3"/>
      <charset val="128"/>
    </font>
    <font>
      <b/>
      <sz val="12"/>
      <name val="ＭＳ ゴシック"/>
      <family val="3"/>
      <charset val="128"/>
    </font>
    <font>
      <b/>
      <sz val="11"/>
      <name val="ＭＳ ゴシック"/>
      <family val="3"/>
      <charset val="128"/>
    </font>
    <font>
      <sz val="11"/>
      <name val="ＭＳ Ｐゴシック"/>
      <family val="3"/>
      <charset val="128"/>
    </font>
    <font>
      <b/>
      <sz val="16"/>
      <name val="ＭＳ ゴシック"/>
      <family val="3"/>
      <charset val="128"/>
    </font>
    <font>
      <sz val="11"/>
      <name val="ＭＳ 明朝"/>
      <family val="1"/>
      <charset val="128"/>
    </font>
    <font>
      <sz val="9"/>
      <color indexed="12"/>
      <name val="ＭＳ 明朝"/>
      <family val="1"/>
      <charset val="128"/>
    </font>
    <font>
      <sz val="8"/>
      <color indexed="12"/>
      <name val="ＭＳ 明朝"/>
      <family val="1"/>
      <charset val="128"/>
    </font>
    <font>
      <sz val="8"/>
      <name val="ＭＳ ゴシック"/>
      <family val="3"/>
      <charset val="128"/>
    </font>
    <font>
      <sz val="10"/>
      <name val="ＭＳ 明朝"/>
      <family val="1"/>
      <charset val="128"/>
    </font>
    <font>
      <sz val="12"/>
      <name val="ＭＳ 明朝"/>
      <family val="1"/>
      <charset val="128"/>
    </font>
    <font>
      <sz val="15"/>
      <name val="ＭＳ ゴシック"/>
      <family val="3"/>
      <charset val="128"/>
    </font>
    <font>
      <b/>
      <sz val="15"/>
      <name val="ＭＳ ゴシック"/>
      <family val="3"/>
      <charset val="128"/>
    </font>
    <font>
      <sz val="12"/>
      <name val="ＭＳ Ｐゴシック"/>
      <family val="3"/>
      <charset val="128"/>
    </font>
    <font>
      <sz val="8"/>
      <color indexed="12"/>
      <name val="ＭＳ ゴシック"/>
      <family val="3"/>
      <charset val="128"/>
    </font>
    <font>
      <sz val="13"/>
      <name val="ＭＳ 明朝"/>
      <family val="1"/>
      <charset val="128"/>
    </font>
    <font>
      <sz val="15"/>
      <name val="ＭＳ 明朝"/>
      <family val="1"/>
      <charset val="128"/>
    </font>
    <font>
      <b/>
      <sz val="18"/>
      <name val="ＭＳ Ｐゴシック"/>
      <family val="3"/>
      <charset val="128"/>
    </font>
    <font>
      <sz val="14"/>
      <name val="ＭＳ Ｐゴシック"/>
      <family val="3"/>
      <charset val="128"/>
    </font>
    <font>
      <sz val="16"/>
      <name val="ＭＳ Ｐゴシック"/>
      <family val="3"/>
      <charset val="128"/>
    </font>
    <font>
      <b/>
      <i/>
      <sz val="16"/>
      <color indexed="10"/>
      <name val="ＭＳ Ｐゴシック"/>
      <family val="3"/>
      <charset val="128"/>
    </font>
    <font>
      <sz val="12"/>
      <color indexed="9"/>
      <name val="ＭＳ Ｐゴシック"/>
      <family val="3"/>
      <charset val="128"/>
    </font>
    <font>
      <sz val="10"/>
      <name val="ＭＳ Ｐゴシック"/>
      <family val="3"/>
      <charset val="128"/>
    </font>
    <font>
      <sz val="11"/>
      <color indexed="12"/>
      <name val="ＭＳ Ｐゴシック"/>
      <family val="3"/>
      <charset val="128"/>
    </font>
    <font>
      <b/>
      <sz val="12"/>
      <color indexed="56"/>
      <name val="ＭＳ Ｐゴシック"/>
      <family val="3"/>
      <charset val="128"/>
    </font>
    <font>
      <sz val="14"/>
      <color indexed="12"/>
      <name val="ＭＳ Ｐゴシック"/>
      <family val="3"/>
      <charset val="128"/>
    </font>
    <font>
      <b/>
      <sz val="12"/>
      <name val="ＭＳ Ｐゴシック"/>
      <family val="3"/>
      <charset val="128"/>
    </font>
    <font>
      <b/>
      <sz val="16"/>
      <name val="ＭＳ Ｐゴシック"/>
      <family val="3"/>
      <charset val="128"/>
    </font>
    <font>
      <b/>
      <u/>
      <sz val="10"/>
      <name val="ＭＳ Ｐゴシック"/>
      <family val="3"/>
      <charset val="128"/>
    </font>
    <font>
      <b/>
      <u/>
      <sz val="10"/>
      <name val="ＭＳ ゴシック"/>
      <family val="3"/>
      <charset val="128"/>
    </font>
    <font>
      <b/>
      <sz val="10"/>
      <name val="ＭＳ ゴシック"/>
      <family val="3"/>
      <charset val="128"/>
    </font>
    <font>
      <b/>
      <sz val="16"/>
      <color indexed="10"/>
      <name val="ＭＳ Ｐゴシック"/>
      <family val="3"/>
      <charset val="128"/>
    </font>
    <font>
      <sz val="11"/>
      <color rgb="FF0000FF"/>
      <name val="ＭＳ ゴシック"/>
      <family val="3"/>
      <charset val="128"/>
    </font>
    <font>
      <sz val="9"/>
      <color rgb="FF0000FF"/>
      <name val="ＭＳ 明朝"/>
      <family val="1"/>
      <charset val="128"/>
    </font>
    <font>
      <b/>
      <i/>
      <sz val="16"/>
      <color rgb="FFFF0000"/>
      <name val="ＭＳ ゴシック"/>
      <family val="3"/>
      <charset val="128"/>
    </font>
    <font>
      <sz val="11"/>
      <color rgb="FF002060"/>
      <name val="ＭＳ Ｐゴシック"/>
      <family val="3"/>
      <charset val="128"/>
    </font>
    <font>
      <sz val="12"/>
      <color rgb="FF002060"/>
      <name val="ＭＳ Ｐゴシック"/>
      <family val="3"/>
      <charset val="128"/>
    </font>
    <font>
      <b/>
      <i/>
      <sz val="16"/>
      <color rgb="FF002060"/>
      <name val="ＭＳ Ｐゴシック"/>
      <family val="3"/>
      <charset val="128"/>
    </font>
    <font>
      <b/>
      <sz val="24"/>
      <color rgb="FF000066"/>
      <name val="ＭＳ Ｐゴシック"/>
      <family val="3"/>
      <charset val="128"/>
    </font>
    <font>
      <b/>
      <sz val="16"/>
      <name val="ＭＳ Ｐゴシック"/>
      <family val="3"/>
      <charset val="128"/>
      <scheme val="major"/>
    </font>
    <font>
      <b/>
      <sz val="24"/>
      <color rgb="FF000066"/>
      <name val="ＭＳ Ｐゴシック"/>
      <family val="3"/>
      <charset val="128"/>
      <scheme val="minor"/>
    </font>
    <font>
      <sz val="11"/>
      <color rgb="FF0000FF"/>
      <name val="ＭＳ Ｐゴシック"/>
      <family val="3"/>
      <charset val="128"/>
    </font>
    <font>
      <b/>
      <sz val="16"/>
      <color rgb="FF000066"/>
      <name val="ＭＳ Ｐゴシック"/>
      <family val="3"/>
      <charset val="128"/>
      <scheme val="minor"/>
    </font>
    <font>
      <b/>
      <i/>
      <sz val="14"/>
      <color rgb="FFFF0000"/>
      <name val="ＭＳ ゴシック"/>
      <family val="3"/>
      <charset val="128"/>
    </font>
    <font>
      <sz val="11"/>
      <color rgb="FFFF0000"/>
      <name val="ＭＳ ゴシック"/>
      <family val="3"/>
      <charset val="128"/>
    </font>
    <font>
      <sz val="16"/>
      <color theme="0"/>
      <name val="ＭＳ ゴシック"/>
      <family val="3"/>
      <charset val="128"/>
    </font>
    <font>
      <b/>
      <i/>
      <u/>
      <sz val="11"/>
      <name val="ＭＳ ゴシック"/>
      <family val="3"/>
      <charset val="128"/>
    </font>
    <font>
      <u/>
      <sz val="11"/>
      <color theme="10"/>
      <name val="ＭＳ ゴシック"/>
      <family val="3"/>
      <charset val="128"/>
    </font>
    <font>
      <b/>
      <i/>
      <u/>
      <sz val="11"/>
      <name val="ＭＳ Ｐゴシック"/>
      <family val="3"/>
      <charset val="128"/>
    </font>
  </fonts>
  <fills count="30">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7"/>
        <bgColor indexed="64"/>
      </patternFill>
    </fill>
    <fill>
      <patternFill patternType="solid">
        <fgColor indexed="50"/>
        <bgColor indexed="64"/>
      </patternFill>
    </fill>
    <fill>
      <patternFill patternType="solid">
        <fgColor indexed="13"/>
        <bgColor indexed="64"/>
      </patternFill>
    </fill>
    <fill>
      <patternFill patternType="solid">
        <fgColor indexed="44"/>
        <bgColor indexed="64"/>
      </patternFill>
    </fill>
    <fill>
      <patternFill patternType="solid">
        <fgColor indexed="51"/>
        <bgColor indexed="64"/>
      </patternFill>
    </fill>
    <fill>
      <patternFill patternType="solid">
        <fgColor indexed="11"/>
        <bgColor indexed="64"/>
      </patternFill>
    </fill>
    <fill>
      <patternFill patternType="solid">
        <fgColor indexed="43"/>
        <bgColor indexed="64"/>
      </patternFill>
    </fill>
    <fill>
      <patternFill patternType="solid">
        <fgColor rgb="FF00CCFF"/>
        <bgColor indexed="64"/>
      </patternFill>
    </fill>
    <fill>
      <patternFill patternType="solid">
        <fgColor rgb="FF00FF00"/>
        <bgColor indexed="64"/>
      </patternFill>
    </fill>
    <fill>
      <patternFill patternType="solid">
        <fgColor rgb="FFFF9900"/>
        <bgColor indexed="64"/>
      </patternFill>
    </fill>
    <fill>
      <patternFill patternType="solid">
        <fgColor rgb="FFCCFFFF"/>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rgb="FFFFC896"/>
        <bgColor indexed="64"/>
      </patternFill>
    </fill>
    <fill>
      <patternFill patternType="solid">
        <fgColor rgb="FFCCECFF"/>
        <bgColor indexed="64"/>
      </patternFill>
    </fill>
    <fill>
      <patternFill patternType="solid">
        <fgColor rgb="FFFFE68C"/>
        <bgColor indexed="64"/>
      </patternFill>
    </fill>
    <fill>
      <patternFill patternType="solid">
        <fgColor theme="0" tint="-0.249977111117893"/>
        <bgColor indexed="64"/>
      </patternFill>
    </fill>
    <fill>
      <patternFill patternType="solid">
        <fgColor rgb="FFF5FF8C"/>
        <bgColor indexed="64"/>
      </patternFill>
    </fill>
    <fill>
      <patternFill patternType="solid">
        <fgColor theme="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rgb="FFFFC000"/>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medium">
        <color indexed="64"/>
      </bottom>
      <diagonal/>
    </border>
    <border>
      <left style="hair">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double">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diagonalDown="1">
      <left style="thin">
        <color indexed="64"/>
      </left>
      <right/>
      <top style="thin">
        <color indexed="64"/>
      </top>
      <bottom/>
      <diagonal style="hair">
        <color indexed="64"/>
      </diagonal>
    </border>
    <border diagonalDown="1">
      <left/>
      <right style="thin">
        <color indexed="64"/>
      </right>
      <top style="thin">
        <color indexed="64"/>
      </top>
      <bottom/>
      <diagonal style="hair">
        <color indexed="64"/>
      </diagonal>
    </border>
    <border diagonalDown="1">
      <left style="thin">
        <color indexed="64"/>
      </left>
      <right/>
      <top/>
      <bottom style="thin">
        <color indexed="64"/>
      </bottom>
      <diagonal style="hair">
        <color indexed="64"/>
      </diagonal>
    </border>
    <border diagonalDown="1">
      <left/>
      <right style="thin">
        <color indexed="64"/>
      </right>
      <top/>
      <bottom style="thin">
        <color indexed="64"/>
      </bottom>
      <diagonal style="hair">
        <color indexed="64"/>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style="thin">
        <color indexed="64"/>
      </bottom>
      <diagonal style="hair">
        <color indexed="64"/>
      </diagonal>
    </border>
  </borders>
  <cellStyleXfs count="4">
    <xf numFmtId="0" fontId="0" fillId="0" borderId="0"/>
    <xf numFmtId="38" fontId="2" fillId="0" borderId="0" applyFont="0" applyFill="0" applyBorder="0" applyAlignment="0" applyProtection="0"/>
    <xf numFmtId="0" fontId="1" fillId="0" borderId="0"/>
    <xf numFmtId="0" fontId="57" fillId="0" borderId="0" applyNumberFormat="0" applyFill="0" applyBorder="0" applyAlignment="0" applyProtection="0"/>
  </cellStyleXfs>
  <cellXfs count="335">
    <xf numFmtId="0" fontId="0" fillId="0" borderId="0" xfId="0"/>
    <xf numFmtId="38" fontId="0" fillId="2" borderId="1" xfId="1" applyFont="1" applyFill="1" applyBorder="1"/>
    <xf numFmtId="38" fontId="0" fillId="3" borderId="1" xfId="1" applyFont="1" applyFill="1" applyBorder="1"/>
    <xf numFmtId="38" fontId="0" fillId="0" borderId="0" xfId="0" applyNumberFormat="1"/>
    <xf numFmtId="0" fontId="5" fillId="4" borderId="1" xfId="0" applyFont="1" applyFill="1" applyBorder="1" applyAlignment="1">
      <alignment horizontal="center"/>
    </xf>
    <xf numFmtId="0" fontId="4" fillId="0" borderId="0" xfId="0" applyFont="1"/>
    <xf numFmtId="0" fontId="0" fillId="0" borderId="0" xfId="0" applyAlignment="1">
      <alignment horizontal="center"/>
    </xf>
    <xf numFmtId="0" fontId="5" fillId="0" borderId="1" xfId="0" applyFont="1" applyBorder="1" applyAlignment="1">
      <alignment horizontal="center"/>
    </xf>
    <xf numFmtId="38" fontId="1" fillId="2" borderId="1" xfId="1" applyFont="1" applyFill="1" applyBorder="1"/>
    <xf numFmtId="38" fontId="1" fillId="3" borderId="1" xfId="1" applyFont="1" applyFill="1" applyBorder="1"/>
    <xf numFmtId="0" fontId="0" fillId="4" borderId="1" xfId="0" applyFill="1" applyBorder="1"/>
    <xf numFmtId="38" fontId="1" fillId="0" borderId="0" xfId="1" applyFont="1" applyFill="1" applyBorder="1"/>
    <xf numFmtId="38" fontId="0" fillId="0" borderId="0" xfId="1" applyFont="1"/>
    <xf numFmtId="0" fontId="0" fillId="4" borderId="1" xfId="0" applyFill="1" applyBorder="1" applyAlignment="1">
      <alignment horizontal="center"/>
    </xf>
    <xf numFmtId="38" fontId="0" fillId="0" borderId="1" xfId="0" applyNumberFormat="1" applyBorder="1"/>
    <xf numFmtId="38" fontId="4" fillId="0" borderId="1" xfId="1" applyFont="1" applyBorder="1"/>
    <xf numFmtId="0" fontId="4" fillId="0" borderId="1" xfId="0" applyFont="1" applyBorder="1" applyAlignment="1">
      <alignment horizontal="center"/>
    </xf>
    <xf numFmtId="0" fontId="0" fillId="3" borderId="1" xfId="0" applyFill="1" applyBorder="1" applyAlignment="1">
      <alignment horizontal="center"/>
    </xf>
    <xf numFmtId="0" fontId="5" fillId="0" borderId="0" xfId="0" applyFont="1" applyFill="1" applyBorder="1" applyAlignment="1">
      <alignment horizontal="center"/>
    </xf>
    <xf numFmtId="38" fontId="4" fillId="0" borderId="0" xfId="1" applyFont="1" applyFill="1" applyBorder="1"/>
    <xf numFmtId="38" fontId="4" fillId="0" borderId="1" xfId="1" applyFont="1" applyFill="1" applyBorder="1"/>
    <xf numFmtId="0" fontId="0" fillId="3" borderId="1" xfId="0" applyFill="1" applyBorder="1"/>
    <xf numFmtId="0" fontId="0" fillId="3" borderId="2" xfId="0" applyFill="1" applyBorder="1" applyAlignment="1">
      <alignment horizontal="center"/>
    </xf>
    <xf numFmtId="0" fontId="0" fillId="3" borderId="3" xfId="0" applyFill="1" applyBorder="1" applyAlignment="1">
      <alignment horizontal="center"/>
    </xf>
    <xf numFmtId="0" fontId="0" fillId="0" borderId="0" xfId="0" applyFill="1" applyBorder="1" applyAlignment="1">
      <alignment horizontal="center"/>
    </xf>
    <xf numFmtId="0" fontId="0" fillId="0" borderId="0" xfId="0" applyFill="1" applyBorder="1"/>
    <xf numFmtId="0" fontId="4" fillId="0" borderId="1" xfId="0" applyFont="1" applyBorder="1" applyAlignment="1"/>
    <xf numFmtId="38" fontId="4" fillId="0" borderId="1" xfId="0" applyNumberFormat="1" applyFont="1" applyBorder="1" applyAlignment="1"/>
    <xf numFmtId="0" fontId="6" fillId="0" borderId="1" xfId="0" applyFont="1" applyBorder="1"/>
    <xf numFmtId="38" fontId="6" fillId="0" borderId="1" xfId="0" applyNumberFormat="1" applyFont="1" applyBorder="1"/>
    <xf numFmtId="0" fontId="6" fillId="3" borderId="1" xfId="0" applyFont="1" applyFill="1" applyBorder="1"/>
    <xf numFmtId="38" fontId="6" fillId="0" borderId="1" xfId="1" applyFont="1" applyBorder="1"/>
    <xf numFmtId="38" fontId="4" fillId="0" borderId="1" xfId="1" applyFont="1" applyBorder="1" applyAlignment="1"/>
    <xf numFmtId="0" fontId="0" fillId="5" borderId="1" xfId="0" applyFill="1" applyBorder="1" applyAlignment="1">
      <alignment horizontal="center"/>
    </xf>
    <xf numFmtId="0" fontId="7" fillId="0" borderId="0" xfId="0" applyFont="1"/>
    <xf numFmtId="0" fontId="0" fillId="0" borderId="0" xfId="0" applyBorder="1"/>
    <xf numFmtId="0" fontId="4" fillId="0" borderId="0" xfId="0" applyFont="1" applyFill="1" applyBorder="1"/>
    <xf numFmtId="0" fontId="0" fillId="4" borderId="2" xfId="0" applyFill="1" applyBorder="1" applyAlignment="1">
      <alignment horizontal="center"/>
    </xf>
    <xf numFmtId="0" fontId="0" fillId="0" borderId="0" xfId="0" applyAlignment="1"/>
    <xf numFmtId="0" fontId="9" fillId="6" borderId="1" xfId="0" applyFont="1" applyFill="1" applyBorder="1" applyAlignment="1">
      <alignment horizontal="center"/>
    </xf>
    <xf numFmtId="38" fontId="1" fillId="7" borderId="1" xfId="1" applyFont="1" applyFill="1" applyBorder="1"/>
    <xf numFmtId="0" fontId="10" fillId="0" borderId="0" xfId="0" applyFont="1" applyAlignment="1">
      <alignment horizontal="center"/>
    </xf>
    <xf numFmtId="0" fontId="0" fillId="8" borderId="1" xfId="0" applyFill="1" applyBorder="1" applyAlignment="1">
      <alignment horizontal="center"/>
    </xf>
    <xf numFmtId="0" fontId="11" fillId="0" borderId="0" xfId="0" applyFont="1" applyAlignment="1">
      <alignment horizontal="center"/>
    </xf>
    <xf numFmtId="0" fontId="0" fillId="0" borderId="0" xfId="0" applyAlignment="1">
      <alignment vertical="center"/>
    </xf>
    <xf numFmtId="0" fontId="12" fillId="0" borderId="0" xfId="0" applyFont="1" applyAlignment="1">
      <alignment horizontal="center"/>
    </xf>
    <xf numFmtId="0" fontId="0" fillId="9" borderId="1" xfId="0" applyFill="1" applyBorder="1" applyAlignment="1">
      <alignment horizontal="center"/>
    </xf>
    <xf numFmtId="38" fontId="0" fillId="0" borderId="0" xfId="1" applyFont="1" applyBorder="1"/>
    <xf numFmtId="0" fontId="10" fillId="0" borderId="0" xfId="0" applyFont="1" applyBorder="1" applyAlignment="1">
      <alignment horizontal="center"/>
    </xf>
    <xf numFmtId="38" fontId="4" fillId="0" borderId="1" xfId="1" applyFont="1" applyBorder="1" applyAlignment="1">
      <alignment horizontal="right"/>
    </xf>
    <xf numFmtId="38" fontId="6" fillId="0" borderId="0" xfId="1" applyFont="1" applyBorder="1"/>
    <xf numFmtId="0" fontId="6" fillId="0" borderId="0" xfId="0" applyFont="1" applyBorder="1"/>
    <xf numFmtId="38" fontId="6" fillId="0" borderId="0" xfId="0" applyNumberFormat="1" applyFont="1" applyBorder="1"/>
    <xf numFmtId="0" fontId="6" fillId="0" borderId="0" xfId="0" applyFont="1" applyFill="1" applyBorder="1"/>
    <xf numFmtId="38" fontId="6" fillId="0" borderId="0" xfId="1" applyFont="1" applyFill="1" applyBorder="1"/>
    <xf numFmtId="0" fontId="0" fillId="0" borderId="0" xfId="0" applyFill="1"/>
    <xf numFmtId="0" fontId="6" fillId="0" borderId="1" xfId="0" applyFont="1" applyBorder="1" applyAlignment="1">
      <alignment horizontal="right"/>
    </xf>
    <xf numFmtId="0" fontId="0" fillId="2" borderId="1" xfId="0" applyFill="1" applyBorder="1"/>
    <xf numFmtId="176" fontId="0" fillId="0" borderId="0" xfId="0" applyNumberFormat="1" applyAlignment="1"/>
    <xf numFmtId="0" fontId="0" fillId="11" borderId="1" xfId="0" applyFill="1" applyBorder="1" applyAlignment="1">
      <alignment horizontal="center"/>
    </xf>
    <xf numFmtId="0" fontId="0" fillId="11" borderId="0" xfId="0" applyFill="1" applyAlignment="1">
      <alignment horizontal="center"/>
    </xf>
    <xf numFmtId="0" fontId="0" fillId="12" borderId="1" xfId="0" applyFill="1" applyBorder="1" applyAlignment="1">
      <alignment horizontal="center"/>
    </xf>
    <xf numFmtId="0" fontId="0" fillId="12" borderId="0" xfId="0" applyFill="1" applyAlignment="1">
      <alignment horizontal="center"/>
    </xf>
    <xf numFmtId="0" fontId="0" fillId="13" borderId="1" xfId="0" applyFill="1" applyBorder="1" applyAlignment="1">
      <alignment horizontal="center"/>
    </xf>
    <xf numFmtId="0" fontId="0" fillId="13" borderId="0" xfId="0" applyFill="1" applyAlignment="1">
      <alignment horizontal="center"/>
    </xf>
    <xf numFmtId="0" fontId="9" fillId="3" borderId="2" xfId="0" applyFont="1" applyFill="1" applyBorder="1" applyAlignment="1">
      <alignment horizontal="left" wrapText="1"/>
    </xf>
    <xf numFmtId="38" fontId="0" fillId="0" borderId="1" xfId="1" applyFont="1" applyBorder="1"/>
    <xf numFmtId="0" fontId="9" fillId="0" borderId="0" xfId="0" applyFont="1" applyAlignment="1">
      <alignment horizontal="center"/>
    </xf>
    <xf numFmtId="0" fontId="0" fillId="0" borderId="0" xfId="0" applyAlignment="1">
      <alignment horizontal="right"/>
    </xf>
    <xf numFmtId="38" fontId="2" fillId="14" borderId="4" xfId="1" applyFont="1" applyFill="1" applyBorder="1"/>
    <xf numFmtId="38" fontId="2" fillId="14" borderId="5" xfId="1" applyFont="1" applyFill="1" applyBorder="1"/>
    <xf numFmtId="38" fontId="0" fillId="14" borderId="1" xfId="0" applyNumberFormat="1" applyFill="1" applyBorder="1" applyAlignment="1">
      <alignment horizontal="right"/>
    </xf>
    <xf numFmtId="38" fontId="2" fillId="14" borderId="2" xfId="1" applyFont="1" applyFill="1" applyBorder="1"/>
    <xf numFmtId="38" fontId="2" fillId="15" borderId="1" xfId="1" applyFont="1" applyFill="1" applyBorder="1"/>
    <xf numFmtId="38" fontId="2" fillId="15" borderId="2" xfId="1" applyFont="1" applyFill="1" applyBorder="1"/>
    <xf numFmtId="38" fontId="2" fillId="15" borderId="5" xfId="1" applyFont="1" applyFill="1" applyBorder="1"/>
    <xf numFmtId="38" fontId="0" fillId="15" borderId="1" xfId="0" applyNumberFormat="1" applyFill="1" applyBorder="1"/>
    <xf numFmtId="0" fontId="42" fillId="16" borderId="0" xfId="0" applyFont="1" applyFill="1" applyAlignment="1">
      <alignment horizontal="center"/>
    </xf>
    <xf numFmtId="0" fontId="0" fillId="16" borderId="0" xfId="0" applyFill="1"/>
    <xf numFmtId="38" fontId="2" fillId="16" borderId="0" xfId="1" applyFont="1" applyFill="1"/>
    <xf numFmtId="0" fontId="4" fillId="17" borderId="1" xfId="0" applyFont="1" applyFill="1" applyBorder="1" applyAlignment="1">
      <alignment horizontal="center"/>
    </xf>
    <xf numFmtId="0" fontId="4" fillId="17" borderId="1" xfId="0" applyFont="1" applyFill="1" applyBorder="1" applyAlignment="1">
      <alignment horizontal="center" vertical="center"/>
    </xf>
    <xf numFmtId="0" fontId="6" fillId="0" borderId="0" xfId="0" applyFont="1" applyBorder="1" applyAlignment="1">
      <alignment horizontal="right"/>
    </xf>
    <xf numFmtId="38" fontId="3" fillId="0" borderId="0" xfId="0" applyNumberFormat="1" applyFont="1" applyBorder="1" applyAlignment="1">
      <alignment wrapText="1"/>
    </xf>
    <xf numFmtId="0" fontId="0" fillId="18" borderId="6" xfId="0" applyFill="1" applyBorder="1"/>
    <xf numFmtId="0" fontId="0" fillId="19" borderId="6" xfId="0" applyFill="1" applyBorder="1"/>
    <xf numFmtId="38" fontId="1" fillId="19" borderId="0" xfId="1" applyFont="1" applyFill="1" applyBorder="1"/>
    <xf numFmtId="0" fontId="0" fillId="20" borderId="6" xfId="0" applyFill="1" applyBorder="1"/>
    <xf numFmtId="38" fontId="1" fillId="20" borderId="0" xfId="1" applyFont="1" applyFill="1" applyBorder="1"/>
    <xf numFmtId="38" fontId="1" fillId="18" borderId="0" xfId="1" applyFont="1" applyFill="1" applyBorder="1"/>
    <xf numFmtId="0" fontId="0" fillId="18" borderId="7" xfId="0" applyFill="1" applyBorder="1"/>
    <xf numFmtId="0" fontId="0" fillId="18" borderId="8" xfId="0" applyFill="1" applyBorder="1"/>
    <xf numFmtId="0" fontId="0" fillId="18" borderId="9" xfId="0" applyFill="1" applyBorder="1"/>
    <xf numFmtId="0" fontId="0" fillId="18" borderId="10" xfId="0" applyFill="1" applyBorder="1"/>
    <xf numFmtId="38" fontId="2" fillId="18" borderId="0" xfId="1" applyFont="1" applyFill="1" applyBorder="1"/>
    <xf numFmtId="0" fontId="0" fillId="18" borderId="0" xfId="0" applyFill="1" applyBorder="1"/>
    <xf numFmtId="0" fontId="0" fillId="18" borderId="11" xfId="0" applyFill="1" applyBorder="1"/>
    <xf numFmtId="0" fontId="0" fillId="18" borderId="12" xfId="0" applyFill="1" applyBorder="1"/>
    <xf numFmtId="38" fontId="2" fillId="18" borderId="12" xfId="1" applyFont="1" applyFill="1" applyBorder="1"/>
    <xf numFmtId="0" fontId="0" fillId="18" borderId="13" xfId="0" applyFill="1" applyBorder="1"/>
    <xf numFmtId="0" fontId="0" fillId="20" borderId="7" xfId="0" applyFont="1" applyFill="1" applyBorder="1"/>
    <xf numFmtId="0" fontId="0" fillId="20" borderId="6" xfId="0" applyFont="1" applyFill="1" applyBorder="1"/>
    <xf numFmtId="0" fontId="0" fillId="20" borderId="8" xfId="0" applyFill="1" applyBorder="1"/>
    <xf numFmtId="0" fontId="0" fillId="20" borderId="9" xfId="0" applyFill="1" applyBorder="1"/>
    <xf numFmtId="0" fontId="0" fillId="20" borderId="10" xfId="0" applyFill="1" applyBorder="1"/>
    <xf numFmtId="0" fontId="0" fillId="20" borderId="13" xfId="0" applyFill="1" applyBorder="1"/>
    <xf numFmtId="0" fontId="0" fillId="20" borderId="11" xfId="0" applyFill="1" applyBorder="1"/>
    <xf numFmtId="0" fontId="0" fillId="20" borderId="12" xfId="0" applyFill="1" applyBorder="1"/>
    <xf numFmtId="38" fontId="2" fillId="20" borderId="12" xfId="1" applyFont="1" applyFill="1" applyBorder="1"/>
    <xf numFmtId="38" fontId="2" fillId="20" borderId="0" xfId="1" applyFont="1" applyFill="1" applyBorder="1"/>
    <xf numFmtId="0" fontId="0" fillId="20" borderId="0" xfId="0" applyFill="1" applyBorder="1"/>
    <xf numFmtId="0" fontId="0" fillId="19" borderId="11" xfId="0" applyFill="1" applyBorder="1"/>
    <xf numFmtId="0" fontId="0" fillId="19" borderId="7" xfId="0" applyFill="1" applyBorder="1"/>
    <xf numFmtId="0" fontId="0" fillId="19" borderId="8" xfId="0" applyFill="1" applyBorder="1"/>
    <xf numFmtId="0" fontId="0" fillId="19" borderId="9" xfId="0" applyFill="1" applyBorder="1"/>
    <xf numFmtId="38" fontId="2" fillId="19" borderId="0" xfId="1" applyFont="1" applyFill="1" applyBorder="1"/>
    <xf numFmtId="0" fontId="0" fillId="19" borderId="10" xfId="0" applyFill="1" applyBorder="1"/>
    <xf numFmtId="0" fontId="0" fillId="19" borderId="0" xfId="0" applyFill="1" applyBorder="1"/>
    <xf numFmtId="0" fontId="0" fillId="19" borderId="13" xfId="0" applyFill="1" applyBorder="1"/>
    <xf numFmtId="0" fontId="0" fillId="19" borderId="12" xfId="0" applyFill="1" applyBorder="1"/>
    <xf numFmtId="38" fontId="2" fillId="19" borderId="12" xfId="1" applyFont="1" applyFill="1" applyBorder="1"/>
    <xf numFmtId="38" fontId="1" fillId="21" borderId="1" xfId="1" applyFont="1" applyFill="1" applyBorder="1"/>
    <xf numFmtId="38" fontId="1" fillId="21" borderId="0" xfId="1" applyFont="1" applyFill="1" applyBorder="1"/>
    <xf numFmtId="38" fontId="2" fillId="21" borderId="0" xfId="1" applyFont="1" applyFill="1"/>
    <xf numFmtId="0" fontId="0" fillId="21" borderId="0" xfId="0" applyFill="1"/>
    <xf numFmtId="0" fontId="1" fillId="21" borderId="0" xfId="2" applyFill="1"/>
    <xf numFmtId="0" fontId="5" fillId="21" borderId="1" xfId="0" applyFont="1" applyFill="1" applyBorder="1" applyAlignment="1">
      <alignment horizontal="center"/>
    </xf>
    <xf numFmtId="0" fontId="4" fillId="21" borderId="1" xfId="0" applyFont="1" applyFill="1" applyBorder="1" applyAlignment="1" applyProtection="1">
      <alignment horizontal="center"/>
      <protection locked="0"/>
    </xf>
    <xf numFmtId="38" fontId="4" fillId="21" borderId="14" xfId="1" applyFont="1" applyFill="1" applyBorder="1" applyProtection="1">
      <protection locked="0"/>
    </xf>
    <xf numFmtId="38" fontId="4" fillId="21" borderId="1" xfId="1" applyFont="1" applyFill="1" applyBorder="1"/>
    <xf numFmtId="38" fontId="0" fillId="19" borderId="0" xfId="0" applyNumberFormat="1" applyFill="1"/>
    <xf numFmtId="0" fontId="5" fillId="16" borderId="1" xfId="0" applyFont="1" applyFill="1" applyBorder="1" applyAlignment="1">
      <alignment horizontal="center"/>
    </xf>
    <xf numFmtId="38" fontId="4" fillId="16" borderId="1" xfId="1" applyFont="1" applyFill="1" applyBorder="1"/>
    <xf numFmtId="0" fontId="5" fillId="0" borderId="1" xfId="0" applyFont="1" applyFill="1" applyBorder="1" applyAlignment="1">
      <alignment horizontal="center"/>
    </xf>
    <xf numFmtId="0" fontId="0" fillId="16" borderId="1" xfId="0" applyFont="1" applyFill="1" applyBorder="1" applyAlignment="1">
      <alignment horizontal="center" wrapText="1"/>
    </xf>
    <xf numFmtId="0" fontId="10" fillId="19" borderId="6" xfId="0" applyFont="1" applyFill="1" applyBorder="1"/>
    <xf numFmtId="0" fontId="10" fillId="20" borderId="6" xfId="0" applyFont="1" applyFill="1" applyBorder="1"/>
    <xf numFmtId="0" fontId="10" fillId="18" borderId="6" xfId="0" applyFont="1" applyFill="1" applyBorder="1"/>
    <xf numFmtId="0" fontId="10" fillId="0" borderId="0" xfId="0" applyFont="1" applyAlignment="1">
      <alignment wrapText="1"/>
    </xf>
    <xf numFmtId="0" fontId="10" fillId="0" borderId="0" xfId="0" applyFont="1" applyFill="1" applyBorder="1" applyProtection="1"/>
    <xf numFmtId="38" fontId="4" fillId="0" borderId="0" xfId="1" applyFont="1" applyBorder="1" applyAlignment="1"/>
    <xf numFmtId="38" fontId="6" fillId="0" borderId="0" xfId="0" applyNumberFormat="1" applyFont="1" applyBorder="1" applyAlignment="1">
      <alignment horizontal="right"/>
    </xf>
    <xf numFmtId="38" fontId="14" fillId="0" borderId="0" xfId="1" applyFont="1" applyBorder="1" applyAlignment="1">
      <alignment horizontal="right"/>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wrapText="1"/>
    </xf>
    <xf numFmtId="38" fontId="43" fillId="0" borderId="15" xfId="0" applyNumberFormat="1" applyFont="1" applyFill="1" applyBorder="1" applyAlignment="1">
      <alignment horizontal="center" wrapText="1"/>
    </xf>
    <xf numFmtId="0" fontId="10" fillId="22" borderId="2" xfId="0" applyFont="1" applyFill="1" applyBorder="1" applyAlignment="1" applyProtection="1">
      <alignment horizontal="center" wrapText="1"/>
    </xf>
    <xf numFmtId="0" fontId="5" fillId="23" borderId="0" xfId="0" applyFont="1" applyFill="1" applyAlignment="1">
      <alignment vertical="center" wrapText="1"/>
    </xf>
    <xf numFmtId="0" fontId="5" fillId="23" borderId="0" xfId="0" applyFont="1" applyFill="1" applyBorder="1" applyAlignment="1" applyProtection="1">
      <alignment vertical="center" wrapText="1"/>
    </xf>
    <xf numFmtId="0" fontId="5" fillId="0" borderId="0" xfId="0" applyFont="1"/>
    <xf numFmtId="0" fontId="15" fillId="23" borderId="0" xfId="0" applyFont="1" applyFill="1" applyBorder="1" applyAlignment="1" applyProtection="1">
      <alignment horizontal="left" vertical="center"/>
    </xf>
    <xf numFmtId="0" fontId="15" fillId="23" borderId="0" xfId="0" applyFont="1" applyFill="1" applyBorder="1" applyProtection="1"/>
    <xf numFmtId="0" fontId="15" fillId="4" borderId="16" xfId="0" applyFont="1" applyFill="1" applyBorder="1" applyAlignment="1">
      <alignment horizontal="center" wrapText="1"/>
    </xf>
    <xf numFmtId="0" fontId="20" fillId="0" borderId="0" xfId="0" applyFont="1" applyAlignment="1">
      <alignment horizontal="left"/>
    </xf>
    <xf numFmtId="178" fontId="21" fillId="0" borderId="17" xfId="1" applyNumberFormat="1" applyFont="1" applyBorder="1" applyAlignment="1"/>
    <xf numFmtId="0" fontId="44" fillId="0" borderId="0" xfId="0" applyFont="1" applyAlignment="1">
      <alignment horizontal="center" vertical="center"/>
    </xf>
    <xf numFmtId="178" fontId="22" fillId="0" borderId="16" xfId="1" applyNumberFormat="1" applyFont="1" applyBorder="1" applyAlignment="1">
      <alignment horizontal="right"/>
    </xf>
    <xf numFmtId="0" fontId="5" fillId="0" borderId="17" xfId="0" applyFont="1" applyFill="1" applyBorder="1" applyAlignment="1" applyProtection="1">
      <alignment horizontal="center"/>
    </xf>
    <xf numFmtId="0" fontId="15" fillId="4" borderId="1" xfId="0" applyFont="1" applyFill="1" applyBorder="1" applyAlignment="1">
      <alignment horizontal="center"/>
    </xf>
    <xf numFmtId="0" fontId="15" fillId="4" borderId="2" xfId="0" applyFont="1" applyFill="1" applyBorder="1" applyAlignment="1">
      <alignment horizontal="center"/>
    </xf>
    <xf numFmtId="0" fontId="15" fillId="4" borderId="16" xfId="0" applyFont="1" applyFill="1" applyBorder="1" applyAlignment="1">
      <alignment horizontal="center"/>
    </xf>
    <xf numFmtId="0" fontId="15" fillId="10" borderId="1" xfId="0" applyFont="1" applyFill="1" applyBorder="1" applyAlignment="1">
      <alignment horizontal="center"/>
    </xf>
    <xf numFmtId="38" fontId="25" fillId="0" borderId="2" xfId="1" applyFont="1" applyFill="1" applyBorder="1"/>
    <xf numFmtId="38" fontId="25" fillId="0" borderId="16" xfId="1" applyFont="1" applyFill="1" applyBorder="1"/>
    <xf numFmtId="38" fontId="25" fillId="0" borderId="1" xfId="1" applyFont="1" applyFill="1" applyBorder="1"/>
    <xf numFmtId="38" fontId="25" fillId="10" borderId="1" xfId="1" applyFont="1" applyFill="1" applyBorder="1"/>
    <xf numFmtId="38" fontId="25" fillId="10" borderId="1" xfId="1" applyFont="1" applyFill="1" applyBorder="1" applyAlignment="1">
      <alignment horizontal="right"/>
    </xf>
    <xf numFmtId="5" fontId="25" fillId="10" borderId="1" xfId="0" applyNumberFormat="1" applyFont="1" applyFill="1" applyBorder="1" applyAlignment="1">
      <alignment horizontal="right"/>
    </xf>
    <xf numFmtId="5" fontId="25" fillId="10" borderId="1" xfId="0" applyNumberFormat="1" applyFont="1" applyFill="1" applyBorder="1" applyAlignment="1">
      <alignment horizontal="center"/>
    </xf>
    <xf numFmtId="178" fontId="26" fillId="0" borderId="15" xfId="0" applyNumberFormat="1" applyFont="1" applyBorder="1" applyAlignment="1">
      <alignment horizontal="right"/>
    </xf>
    <xf numFmtId="38" fontId="0" fillId="2" borderId="3" xfId="1" applyFont="1" applyFill="1" applyBorder="1"/>
    <xf numFmtId="38" fontId="0" fillId="3" borderId="3" xfId="1" applyFont="1" applyFill="1" applyBorder="1"/>
    <xf numFmtId="38" fontId="0" fillId="2" borderId="18" xfId="1" applyFont="1" applyFill="1" applyBorder="1"/>
    <xf numFmtId="38" fontId="0" fillId="3" borderId="18" xfId="1" applyFont="1" applyFill="1" applyBorder="1"/>
    <xf numFmtId="38" fontId="2" fillId="14" borderId="3" xfId="1" applyFont="1" applyFill="1" applyBorder="1"/>
    <xf numFmtId="38" fontId="2" fillId="0" borderId="0" xfId="1" applyNumberFormat="1" applyFont="1"/>
    <xf numFmtId="0" fontId="15" fillId="4" borderId="3" xfId="0" applyFont="1" applyFill="1" applyBorder="1" applyAlignment="1">
      <alignment horizontal="center"/>
    </xf>
    <xf numFmtId="179" fontId="5" fillId="3" borderId="3" xfId="0" applyNumberFormat="1" applyFont="1" applyFill="1" applyBorder="1" applyAlignment="1">
      <alignment horizontal="center" vertical="center"/>
    </xf>
    <xf numFmtId="0" fontId="20" fillId="4" borderId="2" xfId="0" applyFont="1" applyFill="1" applyBorder="1" applyAlignment="1">
      <alignment horizontal="center"/>
    </xf>
    <xf numFmtId="0" fontId="5" fillId="3" borderId="2" xfId="0" applyFont="1" applyFill="1" applyBorder="1" applyAlignment="1">
      <alignment horizontal="center" vertical="center"/>
    </xf>
    <xf numFmtId="180" fontId="0" fillId="0" borderId="0" xfId="0" applyNumberFormat="1"/>
    <xf numFmtId="181" fontId="0" fillId="0" borderId="0" xfId="0" applyNumberFormat="1"/>
    <xf numFmtId="0" fontId="15" fillId="0" borderId="0" xfId="0" applyFont="1" applyAlignment="1">
      <alignment vertical="top" wrapText="1"/>
    </xf>
    <xf numFmtId="0" fontId="8" fillId="24" borderId="0" xfId="0" applyFont="1" applyFill="1" applyAlignment="1"/>
    <xf numFmtId="0" fontId="0" fillId="24" borderId="0" xfId="0" applyFill="1"/>
    <xf numFmtId="176" fontId="0" fillId="24" borderId="0" xfId="0" applyNumberFormat="1" applyFill="1" applyAlignment="1"/>
    <xf numFmtId="0" fontId="0" fillId="25" borderId="1" xfId="0" applyFill="1" applyBorder="1" applyAlignment="1">
      <alignment horizontal="center"/>
    </xf>
    <xf numFmtId="0" fontId="0" fillId="25" borderId="0" xfId="0" applyFill="1" applyAlignment="1">
      <alignment horizontal="center"/>
    </xf>
    <xf numFmtId="0" fontId="0" fillId="0" borderId="0" xfId="0" quotePrefix="1"/>
    <xf numFmtId="177" fontId="0" fillId="0" borderId="0" xfId="0" applyNumberFormat="1"/>
    <xf numFmtId="0" fontId="13" fillId="23" borderId="0" xfId="0" applyFont="1" applyFill="1" applyAlignment="1"/>
    <xf numFmtId="0" fontId="13" fillId="23" borderId="0" xfId="0" applyFont="1" applyFill="1"/>
    <xf numFmtId="0" fontId="13" fillId="26" borderId="0" xfId="0" applyFont="1" applyFill="1"/>
    <xf numFmtId="0" fontId="13" fillId="0" borderId="0" xfId="0" applyFont="1"/>
    <xf numFmtId="0" fontId="13" fillId="23" borderId="0" xfId="0" applyFont="1" applyFill="1" applyBorder="1"/>
    <xf numFmtId="38" fontId="30" fillId="23" borderId="0" xfId="1" applyFont="1" applyFill="1" applyBorder="1"/>
    <xf numFmtId="0" fontId="23" fillId="23" borderId="1" xfId="0" applyFont="1" applyFill="1" applyBorder="1" applyAlignment="1">
      <alignment horizontal="center" vertical="center"/>
    </xf>
    <xf numFmtId="0" fontId="13" fillId="23" borderId="0" xfId="0" applyFont="1" applyFill="1" applyAlignment="1">
      <alignment vertical="center"/>
    </xf>
    <xf numFmtId="38" fontId="29" fillId="23" borderId="0" xfId="1" applyFont="1" applyFill="1" applyBorder="1"/>
    <xf numFmtId="0" fontId="31" fillId="23" borderId="0" xfId="0" applyFont="1" applyFill="1" applyBorder="1" applyAlignment="1">
      <alignment horizontal="center"/>
    </xf>
    <xf numFmtId="38" fontId="30" fillId="23" borderId="12" xfId="1" applyFont="1" applyFill="1" applyBorder="1" applyAlignment="1">
      <alignment horizontal="center"/>
    </xf>
    <xf numFmtId="38" fontId="30" fillId="23" borderId="0" xfId="1" applyFont="1" applyFill="1" applyBorder="1" applyAlignment="1">
      <alignment horizontal="right"/>
    </xf>
    <xf numFmtId="0" fontId="13" fillId="23" borderId="1" xfId="0" applyFont="1" applyFill="1" applyBorder="1" applyAlignment="1">
      <alignment horizontal="center"/>
    </xf>
    <xf numFmtId="0" fontId="32" fillId="23" borderId="2" xfId="0" applyFont="1" applyFill="1" applyBorder="1" applyAlignment="1">
      <alignment horizontal="center"/>
    </xf>
    <xf numFmtId="0" fontId="13" fillId="23" borderId="2" xfId="0" applyFont="1" applyFill="1" applyBorder="1" applyAlignment="1">
      <alignment horizontal="center"/>
    </xf>
    <xf numFmtId="0" fontId="13" fillId="23" borderId="3" xfId="0" applyFont="1" applyFill="1" applyBorder="1" applyAlignment="1">
      <alignment horizontal="center"/>
    </xf>
    <xf numFmtId="38" fontId="29" fillId="23" borderId="1" xfId="0" applyNumberFormat="1" applyFont="1" applyFill="1" applyBorder="1" applyAlignment="1"/>
    <xf numFmtId="38" fontId="29" fillId="23" borderId="1" xfId="0" applyNumberFormat="1" applyFont="1" applyFill="1" applyBorder="1"/>
    <xf numFmtId="0" fontId="29" fillId="23" borderId="1" xfId="0" applyFont="1" applyFill="1" applyBorder="1"/>
    <xf numFmtId="38" fontId="29" fillId="23" borderId="1" xfId="1" applyFont="1" applyFill="1" applyBorder="1"/>
    <xf numFmtId="38" fontId="13" fillId="0" borderId="0" xfId="0" applyNumberFormat="1" applyFont="1"/>
    <xf numFmtId="0" fontId="13" fillId="23" borderId="0" xfId="0" applyFont="1" applyFill="1" applyAlignment="1">
      <alignment horizontal="center"/>
    </xf>
    <xf numFmtId="38" fontId="13" fillId="23" borderId="0" xfId="0" applyNumberFormat="1" applyFont="1" applyFill="1"/>
    <xf numFmtId="38" fontId="29" fillId="23" borderId="1" xfId="1" applyFont="1" applyFill="1" applyBorder="1" applyAlignment="1"/>
    <xf numFmtId="0" fontId="23" fillId="23" borderId="0" xfId="0" applyFont="1" applyFill="1" applyAlignment="1">
      <alignment vertical="center"/>
    </xf>
    <xf numFmtId="0" fontId="32" fillId="23" borderId="1" xfId="0" applyFont="1" applyFill="1" applyBorder="1" applyAlignment="1">
      <alignment horizontal="center"/>
    </xf>
    <xf numFmtId="0" fontId="23" fillId="23" borderId="0" xfId="0" applyFont="1" applyFill="1" applyAlignment="1">
      <alignment horizontal="left" vertical="center"/>
    </xf>
    <xf numFmtId="38" fontId="29" fillId="23" borderId="0" xfId="0" applyNumberFormat="1" applyFont="1" applyFill="1" applyBorder="1" applyAlignment="1">
      <alignment horizontal="right"/>
    </xf>
    <xf numFmtId="38" fontId="29" fillId="23" borderId="0" xfId="1" applyFont="1" applyFill="1" applyBorder="1" applyAlignment="1"/>
    <xf numFmtId="38" fontId="29" fillId="23" borderId="0" xfId="0" applyNumberFormat="1" applyFont="1" applyFill="1" applyBorder="1"/>
    <xf numFmtId="178" fontId="27" fillId="23" borderId="0" xfId="1" applyNumberFormat="1" applyFont="1" applyFill="1" applyBorder="1" applyAlignment="1">
      <alignment horizontal="center"/>
    </xf>
    <xf numFmtId="0" fontId="28" fillId="23" borderId="0" xfId="0" applyFont="1" applyFill="1"/>
    <xf numFmtId="0" fontId="28" fillId="26" borderId="0" xfId="0" applyFont="1" applyFill="1" applyAlignment="1">
      <alignment vertical="top" wrapText="1"/>
    </xf>
    <xf numFmtId="0" fontId="28" fillId="26" borderId="0" xfId="0" applyFont="1" applyFill="1"/>
    <xf numFmtId="0" fontId="28" fillId="26" borderId="0" xfId="0" applyFont="1" applyFill="1" applyAlignment="1">
      <alignment horizontal="center"/>
    </xf>
    <xf numFmtId="0" fontId="13" fillId="26" borderId="0" xfId="0" applyFont="1" applyFill="1" applyAlignment="1">
      <alignment horizontal="center"/>
    </xf>
    <xf numFmtId="0" fontId="13" fillId="0" borderId="0" xfId="0" applyFont="1" applyAlignment="1">
      <alignment horizontal="center"/>
    </xf>
    <xf numFmtId="38" fontId="23" fillId="23" borderId="1" xfId="1" applyFont="1" applyFill="1" applyBorder="1" applyAlignment="1">
      <alignment horizontal="center" vertical="center" wrapText="1"/>
    </xf>
    <xf numFmtId="38" fontId="23" fillId="23" borderId="1" xfId="0" applyNumberFormat="1" applyFont="1" applyFill="1" applyBorder="1" applyAlignment="1">
      <alignment horizontal="center" vertical="center"/>
    </xf>
    <xf numFmtId="38" fontId="23" fillId="23" borderId="2" xfId="1" applyFont="1" applyFill="1" applyBorder="1" applyAlignment="1">
      <alignment horizontal="center" vertical="center" wrapText="1"/>
    </xf>
    <xf numFmtId="178" fontId="27" fillId="23" borderId="0" xfId="0" applyNumberFormat="1" applyFont="1" applyFill="1" applyBorder="1" applyAlignment="1">
      <alignment horizontal="center"/>
    </xf>
    <xf numFmtId="0" fontId="23" fillId="23" borderId="0" xfId="0" applyFont="1" applyFill="1" applyAlignment="1">
      <alignment horizontal="left" vertical="center" wrapText="1"/>
    </xf>
    <xf numFmtId="38" fontId="23" fillId="23" borderId="0" xfId="1" applyFont="1" applyFill="1" applyBorder="1" applyAlignment="1">
      <alignment horizontal="center" vertical="center"/>
    </xf>
    <xf numFmtId="0" fontId="23" fillId="23" borderId="0" xfId="0" applyFont="1" applyFill="1" applyBorder="1" applyAlignment="1">
      <alignment horizontal="left" vertical="center"/>
    </xf>
    <xf numFmtId="178" fontId="28" fillId="23" borderId="0" xfId="1" applyNumberFormat="1" applyFont="1" applyFill="1" applyBorder="1" applyAlignment="1">
      <alignment horizontal="left"/>
    </xf>
    <xf numFmtId="38" fontId="23" fillId="23" borderId="19" xfId="1" applyFont="1" applyFill="1" applyBorder="1" applyAlignment="1">
      <alignment horizontal="center" vertical="center" wrapText="1"/>
    </xf>
    <xf numFmtId="38" fontId="23" fillId="23" borderId="20" xfId="1" applyFont="1" applyFill="1" applyBorder="1" applyAlignment="1">
      <alignment horizontal="center" vertical="center" wrapText="1"/>
    </xf>
    <xf numFmtId="0" fontId="0" fillId="0" borderId="0" xfId="0" applyAlignment="1">
      <alignment horizontal="left" vertical="top" wrapText="1"/>
    </xf>
    <xf numFmtId="0" fontId="9" fillId="0" borderId="0" xfId="0" applyFont="1"/>
    <xf numFmtId="38" fontId="29" fillId="23" borderId="1" xfId="0" applyNumberFormat="1" applyFont="1" applyFill="1" applyBorder="1" applyAlignment="1">
      <alignment horizontal="center"/>
    </xf>
    <xf numFmtId="0" fontId="45" fillId="27" borderId="2" xfId="0" applyFont="1" applyFill="1" applyBorder="1" applyAlignment="1">
      <alignment horizontal="center"/>
    </xf>
    <xf numFmtId="0" fontId="13" fillId="23" borderId="2" xfId="0" applyFont="1" applyFill="1" applyBorder="1" applyAlignment="1" applyProtection="1">
      <alignment horizontal="center"/>
    </xf>
    <xf numFmtId="0" fontId="46" fillId="23" borderId="21" xfId="0" applyFont="1" applyFill="1" applyBorder="1" applyAlignment="1">
      <alignment horizontal="center" vertical="center" wrapText="1"/>
    </xf>
    <xf numFmtId="0" fontId="23" fillId="26" borderId="21" xfId="0" applyFont="1" applyFill="1" applyBorder="1" applyAlignment="1" applyProtection="1">
      <alignment horizontal="center" vertical="center"/>
      <protection locked="0"/>
    </xf>
    <xf numFmtId="0" fontId="29" fillId="23" borderId="21" xfId="0" applyFont="1" applyFill="1" applyBorder="1" applyAlignment="1" applyProtection="1">
      <alignment horizontal="center" vertical="center"/>
      <protection locked="0"/>
    </xf>
    <xf numFmtId="38" fontId="47" fillId="23" borderId="21" xfId="1" applyFont="1" applyFill="1" applyBorder="1" applyAlignment="1">
      <alignment horizontal="center" vertical="center"/>
    </xf>
    <xf numFmtId="0" fontId="23" fillId="23" borderId="21" xfId="0" applyFont="1" applyFill="1" applyBorder="1" applyAlignment="1">
      <alignment horizontal="center" vertical="center"/>
    </xf>
    <xf numFmtId="0" fontId="46" fillId="23" borderId="21" xfId="0" applyFont="1" applyFill="1" applyBorder="1" applyAlignment="1">
      <alignment horizontal="center" vertical="center"/>
    </xf>
    <xf numFmtId="38" fontId="29" fillId="26" borderId="21" xfId="1" applyFont="1" applyFill="1" applyBorder="1" applyProtection="1">
      <protection locked="0"/>
    </xf>
    <xf numFmtId="0" fontId="46" fillId="0" borderId="21" xfId="0" applyFont="1" applyFill="1" applyBorder="1" applyAlignment="1">
      <alignment horizontal="center" vertical="center"/>
    </xf>
    <xf numFmtId="0" fontId="46" fillId="0" borderId="21" xfId="0" applyFont="1" applyFill="1" applyBorder="1" applyAlignment="1">
      <alignment horizontal="center" vertical="center" wrapText="1"/>
    </xf>
    <xf numFmtId="0" fontId="13" fillId="23" borderId="1" xfId="0" applyFont="1" applyFill="1" applyBorder="1" applyAlignment="1">
      <alignment horizontal="center" vertical="center" wrapText="1"/>
    </xf>
    <xf numFmtId="0" fontId="13" fillId="23" borderId="0" xfId="0" applyFont="1" applyFill="1" applyBorder="1" applyAlignment="1">
      <alignment horizontal="center" vertical="center" wrapText="1"/>
    </xf>
    <xf numFmtId="0" fontId="48" fillId="23" borderId="0" xfId="0" applyFont="1" applyFill="1" applyBorder="1" applyAlignment="1">
      <alignment horizontal="center" vertical="center" wrapText="1"/>
    </xf>
    <xf numFmtId="0" fontId="13" fillId="23" borderId="0" xfId="0" applyFont="1" applyFill="1" applyAlignment="1">
      <alignment horizontal="right"/>
    </xf>
    <xf numFmtId="38" fontId="29" fillId="23" borderId="1" xfId="0" applyNumberFormat="1" applyFont="1" applyFill="1" applyBorder="1" applyAlignment="1">
      <alignment horizontal="right" vertical="center"/>
    </xf>
    <xf numFmtId="38" fontId="29" fillId="23" borderId="2" xfId="0" applyNumberFormat="1" applyFont="1" applyFill="1" applyBorder="1" applyAlignment="1">
      <alignment horizontal="right" vertical="center"/>
    </xf>
    <xf numFmtId="38" fontId="29" fillId="23" borderId="19" xfId="0" applyNumberFormat="1" applyFont="1" applyFill="1" applyBorder="1" applyAlignment="1">
      <alignment horizontal="right" vertical="center"/>
    </xf>
    <xf numFmtId="38" fontId="29" fillId="23" borderId="22" xfId="0" applyNumberFormat="1" applyFont="1" applyFill="1" applyBorder="1" applyAlignment="1">
      <alignment horizontal="right" vertical="center"/>
    </xf>
    <xf numFmtId="38" fontId="29" fillId="23" borderId="23" xfId="0" applyNumberFormat="1" applyFont="1" applyFill="1" applyBorder="1" applyAlignment="1">
      <alignment horizontal="right" vertical="center"/>
    </xf>
    <xf numFmtId="38" fontId="36" fillId="23" borderId="20" xfId="1" applyFont="1" applyFill="1" applyBorder="1" applyAlignment="1">
      <alignment horizontal="center" vertical="center"/>
    </xf>
    <xf numFmtId="38" fontId="37" fillId="23" borderId="22" xfId="0" applyNumberFormat="1" applyFont="1" applyFill="1" applyBorder="1" applyAlignment="1">
      <alignment horizontal="right" vertical="center"/>
    </xf>
    <xf numFmtId="38" fontId="37" fillId="23" borderId="23" xfId="0" applyNumberFormat="1" applyFont="1" applyFill="1" applyBorder="1" applyAlignment="1">
      <alignment horizontal="right" vertical="center"/>
    </xf>
    <xf numFmtId="0" fontId="27" fillId="23" borderId="0" xfId="0" applyFont="1" applyFill="1" applyAlignment="1">
      <alignment horizontal="left" vertical="top" wrapText="1"/>
    </xf>
    <xf numFmtId="0" fontId="9" fillId="0" borderId="0" xfId="0" applyFont="1" applyAlignment="1">
      <alignment horizontal="left" vertical="top" wrapText="1"/>
    </xf>
    <xf numFmtId="0" fontId="9" fillId="0" borderId="0" xfId="0" applyFont="1" applyAlignment="1">
      <alignment vertical="top" wrapText="1"/>
    </xf>
    <xf numFmtId="0" fontId="4" fillId="0" borderId="0" xfId="0" applyFont="1" applyAlignment="1">
      <alignment vertical="center"/>
    </xf>
    <xf numFmtId="0" fontId="39" fillId="0" borderId="0" xfId="0" applyFont="1"/>
    <xf numFmtId="0" fontId="40" fillId="0" borderId="0" xfId="0" applyFont="1" applyAlignment="1">
      <alignment vertical="center"/>
    </xf>
    <xf numFmtId="0" fontId="9" fillId="0" borderId="0" xfId="0" applyFont="1" applyAlignment="1">
      <alignment horizontal="left" vertical="center" wrapText="1"/>
    </xf>
    <xf numFmtId="0" fontId="40" fillId="0" borderId="0" xfId="0" applyFont="1" applyAlignment="1">
      <alignment horizontal="right" vertical="top" wrapText="1"/>
    </xf>
    <xf numFmtId="0" fontId="40" fillId="0" borderId="0" xfId="0" applyFont="1" applyAlignment="1">
      <alignment horizontal="left" vertical="top" wrapText="1"/>
    </xf>
    <xf numFmtId="0" fontId="40" fillId="0" borderId="0" xfId="0" applyFont="1" applyAlignment="1">
      <alignment vertical="top" wrapText="1"/>
    </xf>
    <xf numFmtId="0" fontId="40" fillId="0" borderId="0" xfId="0" applyFont="1"/>
    <xf numFmtId="0" fontId="9" fillId="0" borderId="12" xfId="0" applyFont="1" applyBorder="1"/>
    <xf numFmtId="0" fontId="9" fillId="0" borderId="0" xfId="0" applyFont="1" applyAlignment="1">
      <alignment vertical="center"/>
    </xf>
    <xf numFmtId="0" fontId="9" fillId="0" borderId="0" xfId="0" applyFont="1" applyAlignment="1">
      <alignment vertical="center" wrapText="1"/>
    </xf>
    <xf numFmtId="0" fontId="45" fillId="28" borderId="3" xfId="0" applyFont="1" applyFill="1" applyBorder="1" applyAlignment="1">
      <alignment horizontal="center"/>
    </xf>
    <xf numFmtId="0" fontId="13" fillId="23" borderId="3" xfId="0" applyFont="1" applyFill="1" applyBorder="1" applyAlignment="1" applyProtection="1">
      <alignment horizontal="center"/>
      <protection locked="0"/>
    </xf>
    <xf numFmtId="0" fontId="45" fillId="23" borderId="21" xfId="0" applyFont="1" applyFill="1" applyBorder="1" applyAlignment="1">
      <alignment horizontal="center"/>
    </xf>
    <xf numFmtId="0" fontId="23" fillId="23" borderId="21" xfId="0" applyFont="1" applyFill="1" applyBorder="1" applyAlignment="1" applyProtection="1">
      <alignment horizontal="center" vertical="center"/>
      <protection locked="0"/>
    </xf>
    <xf numFmtId="0" fontId="46" fillId="28" borderId="24" xfId="0" applyFont="1" applyFill="1" applyBorder="1" applyAlignment="1">
      <alignment horizontal="center" vertical="center"/>
    </xf>
    <xf numFmtId="38" fontId="29" fillId="23" borderId="24" xfId="1" applyFont="1" applyFill="1" applyBorder="1" applyProtection="1">
      <protection locked="0"/>
    </xf>
    <xf numFmtId="0" fontId="23" fillId="23" borderId="0" xfId="0" applyFont="1" applyFill="1" applyBorder="1" applyAlignment="1">
      <alignment horizontal="center"/>
    </xf>
    <xf numFmtId="0" fontId="23" fillId="21" borderId="20" xfId="0" applyFont="1" applyFill="1" applyBorder="1" applyAlignment="1">
      <alignment horizontal="center" vertical="center"/>
    </xf>
    <xf numFmtId="38" fontId="29" fillId="21" borderId="22" xfId="1" applyFont="1" applyFill="1" applyBorder="1"/>
    <xf numFmtId="38" fontId="29" fillId="21" borderId="23" xfId="1" applyFont="1" applyFill="1" applyBorder="1"/>
    <xf numFmtId="0" fontId="49" fillId="23" borderId="0" xfId="0" applyFont="1" applyFill="1" applyAlignment="1">
      <alignment horizontal="left" wrapText="1"/>
    </xf>
    <xf numFmtId="0" fontId="56" fillId="0" borderId="0" xfId="0" applyFont="1"/>
    <xf numFmtId="0" fontId="58" fillId="0" borderId="0" xfId="0" applyFont="1" applyAlignment="1"/>
    <xf numFmtId="0" fontId="57" fillId="0" borderId="0" xfId="3" applyProtection="1">
      <protection locked="0"/>
    </xf>
    <xf numFmtId="38" fontId="29" fillId="0" borderId="21" xfId="1" applyFont="1" applyFill="1" applyBorder="1" applyProtection="1">
      <protection locked="0"/>
    </xf>
    <xf numFmtId="0" fontId="49" fillId="23" borderId="0" xfId="0" applyFont="1" applyFill="1" applyAlignment="1">
      <alignment horizontal="left" wrapText="1"/>
    </xf>
    <xf numFmtId="0" fontId="50" fillId="23" borderId="25" xfId="0" applyFont="1" applyFill="1" applyBorder="1" applyAlignment="1">
      <alignment horizontal="center" vertical="center" wrapText="1"/>
    </xf>
    <xf numFmtId="0" fontId="50" fillId="23" borderId="26" xfId="0" applyFont="1" applyFill="1" applyBorder="1" applyAlignment="1">
      <alignment horizontal="center" vertical="center" wrapText="1"/>
    </xf>
    <xf numFmtId="0" fontId="50" fillId="23" borderId="27" xfId="0" applyFont="1" applyFill="1" applyBorder="1" applyAlignment="1">
      <alignment horizontal="center" vertical="center" wrapText="1"/>
    </xf>
    <xf numFmtId="0" fontId="13" fillId="23" borderId="2" xfId="0" applyFont="1" applyFill="1" applyBorder="1" applyAlignment="1">
      <alignment horizontal="center" vertical="center"/>
    </xf>
    <xf numFmtId="0" fontId="13" fillId="23" borderId="3" xfId="0" applyFont="1" applyFill="1" applyBorder="1" applyAlignment="1">
      <alignment horizontal="center" vertical="center"/>
    </xf>
    <xf numFmtId="0" fontId="52" fillId="23" borderId="0" xfId="0" applyFont="1" applyFill="1" applyBorder="1" applyAlignment="1">
      <alignment horizontal="left" wrapText="1"/>
    </xf>
    <xf numFmtId="0" fontId="13" fillId="23" borderId="2" xfId="0" applyFont="1" applyFill="1" applyBorder="1" applyAlignment="1">
      <alignment horizontal="center"/>
    </xf>
    <xf numFmtId="0" fontId="13" fillId="23" borderId="3" xfId="0" applyFont="1" applyFill="1" applyBorder="1" applyAlignment="1">
      <alignment horizontal="center"/>
    </xf>
    <xf numFmtId="0" fontId="13" fillId="23" borderId="28" xfId="0" applyFont="1" applyFill="1" applyBorder="1" applyAlignment="1">
      <alignment horizontal="center"/>
    </xf>
    <xf numFmtId="0" fontId="13" fillId="23" borderId="29" xfId="0" applyFont="1" applyFill="1" applyBorder="1" applyAlignment="1">
      <alignment horizontal="center"/>
    </xf>
    <xf numFmtId="0" fontId="28" fillId="23" borderId="0" xfId="0" applyFont="1" applyFill="1" applyAlignment="1">
      <alignment horizontal="left" vertical="top" wrapText="1"/>
    </xf>
    <xf numFmtId="0" fontId="28" fillId="29" borderId="21" xfId="0" applyFont="1" applyFill="1" applyBorder="1" applyAlignment="1" applyProtection="1">
      <alignment horizontal="center" vertical="center"/>
    </xf>
    <xf numFmtId="178" fontId="27" fillId="23" borderId="21" xfId="1" applyNumberFormat="1" applyFont="1" applyFill="1" applyBorder="1" applyAlignment="1">
      <alignment horizontal="center" vertical="center"/>
    </xf>
    <xf numFmtId="0" fontId="35" fillId="29" borderId="21" xfId="0" applyFont="1" applyFill="1" applyBorder="1" applyAlignment="1" applyProtection="1">
      <alignment horizontal="center" vertical="center" wrapText="1"/>
    </xf>
    <xf numFmtId="0" fontId="28" fillId="29" borderId="21" xfId="0" applyFont="1" applyFill="1" applyBorder="1" applyAlignment="1" applyProtection="1">
      <alignment horizontal="center" vertical="center" wrapText="1"/>
    </xf>
    <xf numFmtId="38" fontId="51" fillId="29" borderId="21" xfId="0" applyNumberFormat="1" applyFont="1" applyFill="1" applyBorder="1" applyAlignment="1">
      <alignment horizontal="center" vertical="center" wrapText="1"/>
    </xf>
    <xf numFmtId="178" fontId="27" fillId="23" borderId="21" xfId="0" applyNumberFormat="1" applyFont="1" applyFill="1" applyBorder="1" applyAlignment="1">
      <alignment horizontal="center" vertical="center"/>
    </xf>
    <xf numFmtId="0" fontId="9" fillId="0" borderId="0" xfId="0" applyFont="1" applyAlignment="1">
      <alignment horizontal="center"/>
    </xf>
    <xf numFmtId="0" fontId="9" fillId="0" borderId="0" xfId="0" applyFont="1" applyAlignment="1">
      <alignment horizontal="left" vertical="top" wrapText="1"/>
    </xf>
    <xf numFmtId="0" fontId="32" fillId="23" borderId="0" xfId="0" applyFont="1" applyFill="1" applyAlignment="1">
      <alignment horizontal="left" vertical="center" wrapText="1"/>
    </xf>
    <xf numFmtId="0" fontId="29" fillId="23" borderId="0" xfId="0" applyFont="1" applyFill="1" applyAlignment="1">
      <alignment horizontal="left"/>
    </xf>
    <xf numFmtId="0" fontId="9" fillId="0" borderId="0" xfId="0" applyFont="1" applyAlignment="1">
      <alignment horizontal="left" vertical="center" wrapText="1"/>
    </xf>
    <xf numFmtId="0" fontId="40" fillId="0" borderId="0" xfId="0" applyFont="1" applyAlignment="1">
      <alignment horizontal="left" vertical="top" wrapText="1"/>
    </xf>
    <xf numFmtId="0" fontId="15" fillId="0" borderId="0" xfId="0" applyFont="1" applyAlignment="1">
      <alignment horizontal="left" vertical="top" wrapText="1"/>
    </xf>
    <xf numFmtId="0" fontId="53" fillId="0" borderId="0" xfId="0" applyFont="1" applyFill="1" applyBorder="1" applyAlignment="1">
      <alignment vertical="center"/>
    </xf>
    <xf numFmtId="0" fontId="53" fillId="0" borderId="0" xfId="0" applyFont="1" applyAlignment="1">
      <alignment vertical="center"/>
    </xf>
    <xf numFmtId="0" fontId="54" fillId="0" borderId="0" xfId="0" applyFont="1" applyAlignment="1"/>
    <xf numFmtId="0" fontId="53" fillId="0" borderId="12" xfId="0" applyFont="1" applyBorder="1" applyAlignment="1">
      <alignment vertical="center"/>
    </xf>
    <xf numFmtId="0" fontId="54" fillId="0" borderId="12" xfId="0" applyFont="1" applyBorder="1" applyAlignment="1"/>
    <xf numFmtId="38" fontId="4" fillId="0" borderId="30" xfId="0" applyNumberFormat="1" applyFont="1" applyFill="1" applyBorder="1" applyAlignment="1">
      <alignment horizontal="center"/>
    </xf>
    <xf numFmtId="38" fontId="4" fillId="0" borderId="31" xfId="0" applyNumberFormat="1" applyFont="1" applyFill="1" applyBorder="1" applyAlignment="1">
      <alignment horizontal="center"/>
    </xf>
    <xf numFmtId="38" fontId="4" fillId="0" borderId="32" xfId="0" applyNumberFormat="1" applyFont="1" applyFill="1" applyBorder="1" applyAlignment="1">
      <alignment horizontal="center"/>
    </xf>
    <xf numFmtId="38" fontId="4" fillId="0" borderId="33" xfId="0" applyNumberFormat="1" applyFont="1" applyFill="1" applyBorder="1" applyAlignment="1">
      <alignment horizontal="center"/>
    </xf>
    <xf numFmtId="0" fontId="15" fillId="23" borderId="0" xfId="0" applyFont="1" applyFill="1" applyBorder="1" applyAlignment="1" applyProtection="1">
      <alignment horizontal="left" vertical="center" wrapText="1"/>
    </xf>
    <xf numFmtId="38" fontId="55" fillId="0" borderId="34" xfId="0" applyNumberFormat="1" applyFont="1" applyFill="1" applyBorder="1" applyAlignment="1">
      <alignment horizontal="center"/>
    </xf>
    <xf numFmtId="38" fontId="55" fillId="0" borderId="35" xfId="0" applyNumberFormat="1" applyFont="1" applyFill="1" applyBorder="1" applyAlignment="1">
      <alignment horizontal="center"/>
    </xf>
    <xf numFmtId="0" fontId="0" fillId="4" borderId="28" xfId="0" applyFill="1" applyBorder="1" applyAlignment="1">
      <alignment horizontal="center"/>
    </xf>
    <xf numFmtId="0" fontId="0" fillId="0" borderId="29" xfId="0" applyBorder="1" applyAlignment="1"/>
    <xf numFmtId="0" fontId="15" fillId="23" borderId="0" xfId="0" applyFont="1" applyFill="1" applyAlignment="1">
      <alignment horizontal="left" vertical="center" wrapText="1"/>
    </xf>
    <xf numFmtId="38" fontId="1" fillId="21" borderId="2" xfId="1" applyFont="1" applyFill="1" applyBorder="1" applyAlignment="1">
      <alignment vertical="center"/>
    </xf>
    <xf numFmtId="38" fontId="1" fillId="21" borderId="24" xfId="1" applyFont="1" applyFill="1" applyBorder="1" applyAlignment="1">
      <alignment vertical="center"/>
    </xf>
    <xf numFmtId="38" fontId="1" fillId="21" borderId="3" xfId="1" applyFont="1" applyFill="1" applyBorder="1" applyAlignment="1">
      <alignment vertical="center"/>
    </xf>
  </cellXfs>
  <cellStyles count="4">
    <cellStyle name="ハイパーリンク" xfId="3" builtinId="8"/>
    <cellStyle name="桁区切り" xfId="1" builtinId="6"/>
    <cellStyle name="標準" xfId="0" builtinId="0"/>
    <cellStyle name="標準_税額シュミレーション(15年度以降）" xfId="2" xr:uid="{00000000-0005-0000-0000-000002000000}"/>
  </cellStyles>
  <dxfs count="2">
    <dxf>
      <fill>
        <patternFill>
          <bgColor indexed="13"/>
        </patternFill>
      </fill>
    </dxf>
    <dxf>
      <font>
        <b/>
        <i/>
        <condense val="0"/>
        <extend val="0"/>
        <color indexed="10"/>
      </font>
      <fill>
        <patternFill>
          <bgColor indexed="13"/>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15</xdr:col>
      <xdr:colOff>9525</xdr:colOff>
      <xdr:row>41</xdr:row>
      <xdr:rowOff>104775</xdr:rowOff>
    </xdr:to>
    <xdr:pic>
      <xdr:nvPicPr>
        <xdr:cNvPr id="13399" name="図 2">
          <a:extLst>
            <a:ext uri="{FF2B5EF4-FFF2-40B4-BE49-F238E27FC236}">
              <a16:creationId xmlns:a16="http://schemas.microsoft.com/office/drawing/2014/main" id="{EF3AE02B-0C7E-46C4-9689-E21EFDA8C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
          <a:ext cx="10296525" cy="7477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533400</xdr:colOff>
      <xdr:row>104</xdr:row>
      <xdr:rowOff>123825</xdr:rowOff>
    </xdr:to>
    <xdr:pic>
      <xdr:nvPicPr>
        <xdr:cNvPr id="10982" name="図 23">
          <a:extLst>
            <a:ext uri="{FF2B5EF4-FFF2-40B4-BE49-F238E27FC236}">
              <a16:creationId xmlns:a16="http://schemas.microsoft.com/office/drawing/2014/main" id="{49CD92D4-05D7-41D2-9833-39AB594C21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477500" cy="18849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136770</xdr:colOff>
      <xdr:row>1</xdr:row>
      <xdr:rowOff>35413</xdr:rowOff>
    </xdr:from>
    <xdr:to>
      <xdr:col>12</xdr:col>
      <xdr:colOff>499208</xdr:colOff>
      <xdr:row>2</xdr:row>
      <xdr:rowOff>296984</xdr:rowOff>
    </xdr:to>
    <xdr:pic>
      <xdr:nvPicPr>
        <xdr:cNvPr id="1219" name="図 5">
          <a:extLst>
            <a:ext uri="{FF2B5EF4-FFF2-40B4-BE49-F238E27FC236}">
              <a16:creationId xmlns:a16="http://schemas.microsoft.com/office/drawing/2014/main" id="{FBB5CCE2-A7B6-47D1-8719-D887286444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31385" y="211259"/>
          <a:ext cx="1691054" cy="1082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63501</xdr:colOff>
      <xdr:row>7</xdr:row>
      <xdr:rowOff>92808</xdr:rowOff>
    </xdr:from>
    <xdr:to>
      <xdr:col>7</xdr:col>
      <xdr:colOff>1323731</xdr:colOff>
      <xdr:row>14</xdr:row>
      <xdr:rowOff>405426</xdr:rowOff>
    </xdr:to>
    <xdr:sp macro="" textlink="">
      <xdr:nvSpPr>
        <xdr:cNvPr id="2" name="四角形: 角度付き 1">
          <a:extLst>
            <a:ext uri="{FF2B5EF4-FFF2-40B4-BE49-F238E27FC236}">
              <a16:creationId xmlns:a16="http://schemas.microsoft.com/office/drawing/2014/main" id="{D3061A81-04E2-4F3C-9E66-139F46C8D6C2}"/>
            </a:ext>
          </a:extLst>
        </xdr:cNvPr>
        <xdr:cNvSpPr/>
      </xdr:nvSpPr>
      <xdr:spPr>
        <a:xfrm>
          <a:off x="2237155" y="2290885"/>
          <a:ext cx="7219461" cy="1631464"/>
        </a:xfrm>
        <a:prstGeom prst="bevel">
          <a:avLst/>
        </a:prstGeom>
        <a:solidFill>
          <a:srgbClr val="FFFF00"/>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a:solidFill>
                <a:schemeClr val="tx1"/>
              </a:solidFill>
              <a:latin typeface="+mn-ea"/>
              <a:ea typeface="+mn-ea"/>
            </a:rPr>
            <a:t>「はじめに」「収入・所得の入力について」を読んだ方はこの図形を移動させてください。</a:t>
          </a:r>
          <a:endParaRPr kumimoji="1" lang="en-US" altLang="ja-JP" sz="2400">
            <a:solidFill>
              <a:schemeClr val="tx1"/>
            </a:solidFill>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238127</xdr:colOff>
      <xdr:row>3</xdr:row>
      <xdr:rowOff>167647</xdr:rowOff>
    </xdr:from>
    <xdr:to>
      <xdr:col>13</xdr:col>
      <xdr:colOff>195604</xdr:colOff>
      <xdr:row>5</xdr:row>
      <xdr:rowOff>96271</xdr:rowOff>
    </xdr:to>
    <xdr:sp macro="" textlink="">
      <xdr:nvSpPr>
        <xdr:cNvPr id="2" name="正方形/長方形 1">
          <a:extLst>
            <a:ext uri="{FF2B5EF4-FFF2-40B4-BE49-F238E27FC236}">
              <a16:creationId xmlns:a16="http://schemas.microsoft.com/office/drawing/2014/main" id="{707FAB1A-4389-474E-A51F-19B7FEF23681}"/>
            </a:ext>
          </a:extLst>
        </xdr:cNvPr>
        <xdr:cNvSpPr/>
      </xdr:nvSpPr>
      <xdr:spPr>
        <a:xfrm>
          <a:off x="238127" y="2974120"/>
          <a:ext cx="9057254" cy="3849182"/>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238126</xdr:colOff>
      <xdr:row>0</xdr:row>
      <xdr:rowOff>136751</xdr:rowOff>
    </xdr:from>
    <xdr:to>
      <xdr:col>12</xdr:col>
      <xdr:colOff>433728</xdr:colOff>
      <xdr:row>2</xdr:row>
      <xdr:rowOff>2202655</xdr:rowOff>
    </xdr:to>
    <xdr:sp macro="" textlink="">
      <xdr:nvSpPr>
        <xdr:cNvPr id="3" name="正方形/長方形 2">
          <a:extLst>
            <a:ext uri="{FF2B5EF4-FFF2-40B4-BE49-F238E27FC236}">
              <a16:creationId xmlns:a16="http://schemas.microsoft.com/office/drawing/2014/main" id="{B7B4F00E-3CAE-4F84-956B-870EF1059E71}"/>
            </a:ext>
          </a:extLst>
        </xdr:cNvPr>
        <xdr:cNvSpPr/>
      </xdr:nvSpPr>
      <xdr:spPr>
        <a:xfrm>
          <a:off x="238126" y="136751"/>
          <a:ext cx="8606517" cy="2499632"/>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142875</xdr:colOff>
      <xdr:row>33</xdr:row>
      <xdr:rowOff>142875</xdr:rowOff>
    </xdr:from>
    <xdr:to>
      <xdr:col>5</xdr:col>
      <xdr:colOff>361950</xdr:colOff>
      <xdr:row>67</xdr:row>
      <xdr:rowOff>161925</xdr:rowOff>
    </xdr:to>
    <xdr:pic>
      <xdr:nvPicPr>
        <xdr:cNvPr id="12878" name="図 1">
          <a:extLst>
            <a:ext uri="{FF2B5EF4-FFF2-40B4-BE49-F238E27FC236}">
              <a16:creationId xmlns:a16="http://schemas.microsoft.com/office/drawing/2014/main" id="{8E2F169A-91CA-49FE-9B39-09706C757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422" t="1341" r="48730" b="30325"/>
        <a:stretch>
          <a:fillRect/>
        </a:stretch>
      </xdr:blipFill>
      <xdr:spPr bwMode="auto">
        <a:xfrm>
          <a:off x="495300" y="5934075"/>
          <a:ext cx="2962275" cy="5848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xdr:colOff>
      <xdr:row>34</xdr:row>
      <xdr:rowOff>57150</xdr:rowOff>
    </xdr:from>
    <xdr:to>
      <xdr:col>12</xdr:col>
      <xdr:colOff>676275</xdr:colOff>
      <xdr:row>42</xdr:row>
      <xdr:rowOff>9525</xdr:rowOff>
    </xdr:to>
    <xdr:pic>
      <xdr:nvPicPr>
        <xdr:cNvPr id="12879" name="図 2">
          <a:extLst>
            <a:ext uri="{FF2B5EF4-FFF2-40B4-BE49-F238E27FC236}">
              <a16:creationId xmlns:a16="http://schemas.microsoft.com/office/drawing/2014/main" id="{19EE8B5B-E96B-4B68-AD79-EECED74D5E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 r="571"/>
        <a:stretch>
          <a:fillRect/>
        </a:stretch>
      </xdr:blipFill>
      <xdr:spPr bwMode="auto">
        <a:xfrm>
          <a:off x="3838575" y="6019800"/>
          <a:ext cx="473392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241223</xdr:colOff>
      <xdr:row>65</xdr:row>
      <xdr:rowOff>120110</xdr:rowOff>
    </xdr:from>
    <xdr:to>
      <xdr:col>5</xdr:col>
      <xdr:colOff>365048</xdr:colOff>
      <xdr:row>67</xdr:row>
      <xdr:rowOff>52561</xdr:rowOff>
    </xdr:to>
    <xdr:sp macro="" textlink="">
      <xdr:nvSpPr>
        <xdr:cNvPr id="4" name="四角形: 角を丸くする 3">
          <a:extLst>
            <a:ext uri="{FF2B5EF4-FFF2-40B4-BE49-F238E27FC236}">
              <a16:creationId xmlns:a16="http://schemas.microsoft.com/office/drawing/2014/main" id="{5B818B93-435C-41E5-8BE0-4A1978778B4C}"/>
            </a:ext>
          </a:extLst>
        </xdr:cNvPr>
        <xdr:cNvSpPr/>
      </xdr:nvSpPr>
      <xdr:spPr>
        <a:xfrm>
          <a:off x="1963050" y="11379148"/>
          <a:ext cx="1491517" cy="274375"/>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170769</xdr:colOff>
      <xdr:row>40</xdr:row>
      <xdr:rowOff>17008</xdr:rowOff>
    </xdr:from>
    <xdr:to>
      <xdr:col>8</xdr:col>
      <xdr:colOff>340180</xdr:colOff>
      <xdr:row>42</xdr:row>
      <xdr:rowOff>65315</xdr:rowOff>
    </xdr:to>
    <xdr:sp macro="" textlink="">
      <xdr:nvSpPr>
        <xdr:cNvPr id="5" name="四角形: 角を丸くする 4">
          <a:extLst>
            <a:ext uri="{FF2B5EF4-FFF2-40B4-BE49-F238E27FC236}">
              <a16:creationId xmlns:a16="http://schemas.microsoft.com/office/drawing/2014/main" id="{66B9C89F-F162-4B7A-B2D9-FD35A6AD9640}"/>
            </a:ext>
          </a:extLst>
        </xdr:cNvPr>
        <xdr:cNvSpPr/>
      </xdr:nvSpPr>
      <xdr:spPr>
        <a:xfrm>
          <a:off x="4618944" y="13904458"/>
          <a:ext cx="855211" cy="391207"/>
        </a:xfrm>
        <a:prstGeom prst="roundRect">
          <a:avLst/>
        </a:prstGeom>
        <a:noFill/>
        <a:ln w="571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146539</xdr:colOff>
      <xdr:row>42</xdr:row>
      <xdr:rowOff>144576</xdr:rowOff>
    </xdr:from>
    <xdr:to>
      <xdr:col>7</xdr:col>
      <xdr:colOff>408214</xdr:colOff>
      <xdr:row>65</xdr:row>
      <xdr:rowOff>134327</xdr:rowOff>
    </xdr:to>
    <xdr:cxnSp macro="">
      <xdr:nvCxnSpPr>
        <xdr:cNvPr id="6" name="直線矢印コネクタ 5">
          <a:extLst>
            <a:ext uri="{FF2B5EF4-FFF2-40B4-BE49-F238E27FC236}">
              <a16:creationId xmlns:a16="http://schemas.microsoft.com/office/drawing/2014/main" id="{ADDA1F8E-24F9-4609-A244-311BBEFE77B5}"/>
            </a:ext>
          </a:extLst>
        </xdr:cNvPr>
        <xdr:cNvCxnSpPr/>
      </xdr:nvCxnSpPr>
      <xdr:spPr>
        <a:xfrm flipV="1">
          <a:off x="3236058" y="7471499"/>
          <a:ext cx="1629368" cy="3921866"/>
        </a:xfrm>
        <a:prstGeom prst="straightConnector1">
          <a:avLst/>
        </a:prstGeom>
        <a:ln w="38100">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419100</xdr:colOff>
      <xdr:row>91</xdr:row>
      <xdr:rowOff>142875</xdr:rowOff>
    </xdr:from>
    <xdr:to>
      <xdr:col>13</xdr:col>
      <xdr:colOff>619125</xdr:colOff>
      <xdr:row>100</xdr:row>
      <xdr:rowOff>161925</xdr:rowOff>
    </xdr:to>
    <xdr:pic>
      <xdr:nvPicPr>
        <xdr:cNvPr id="12883" name="図 8">
          <a:extLst>
            <a:ext uri="{FF2B5EF4-FFF2-40B4-BE49-F238E27FC236}">
              <a16:creationId xmlns:a16="http://schemas.microsoft.com/office/drawing/2014/main" id="{4CF8EF19-6509-4182-80C9-765084C9B7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9" t="-1231" r="-2277" b="41101"/>
        <a:stretch>
          <a:fillRect/>
        </a:stretch>
      </xdr:blipFill>
      <xdr:spPr bwMode="auto">
        <a:xfrm>
          <a:off x="5572125" y="16287750"/>
          <a:ext cx="3629025" cy="233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400050</xdr:colOff>
      <xdr:row>75</xdr:row>
      <xdr:rowOff>66675</xdr:rowOff>
    </xdr:from>
    <xdr:to>
      <xdr:col>6</xdr:col>
      <xdr:colOff>638175</xdr:colOff>
      <xdr:row>85</xdr:row>
      <xdr:rowOff>19050</xdr:rowOff>
    </xdr:to>
    <xdr:pic>
      <xdr:nvPicPr>
        <xdr:cNvPr id="12884" name="図 9">
          <a:extLst>
            <a:ext uri="{FF2B5EF4-FFF2-40B4-BE49-F238E27FC236}">
              <a16:creationId xmlns:a16="http://schemas.microsoft.com/office/drawing/2014/main" id="{2A8B8F9C-1F93-4843-91D3-9B6C656B9A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38986"/>
        <a:stretch>
          <a:fillRect/>
        </a:stretch>
      </xdr:blipFill>
      <xdr:spPr bwMode="auto">
        <a:xfrm>
          <a:off x="752475" y="13468350"/>
          <a:ext cx="366712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16570</xdr:colOff>
      <xdr:row>81</xdr:row>
      <xdr:rowOff>38100</xdr:rowOff>
    </xdr:from>
    <xdr:to>
      <xdr:col>4</xdr:col>
      <xdr:colOff>417534</xdr:colOff>
      <xdr:row>83</xdr:row>
      <xdr:rowOff>66675</xdr:rowOff>
    </xdr:to>
    <xdr:sp macro="" textlink="">
      <xdr:nvSpPr>
        <xdr:cNvPr id="9" name="四角形: 角を丸くする 8">
          <a:extLst>
            <a:ext uri="{FF2B5EF4-FFF2-40B4-BE49-F238E27FC236}">
              <a16:creationId xmlns:a16="http://schemas.microsoft.com/office/drawing/2014/main" id="{0F577952-9B0D-4445-97ED-52A70DDBCC80}"/>
            </a:ext>
          </a:extLst>
        </xdr:cNvPr>
        <xdr:cNvSpPr/>
      </xdr:nvSpPr>
      <xdr:spPr>
        <a:xfrm>
          <a:off x="1721545" y="21297900"/>
          <a:ext cx="1086764" cy="371475"/>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26096</xdr:colOff>
      <xdr:row>78</xdr:row>
      <xdr:rowOff>152400</xdr:rowOff>
    </xdr:from>
    <xdr:to>
      <xdr:col>4</xdr:col>
      <xdr:colOff>427060</xdr:colOff>
      <xdr:row>81</xdr:row>
      <xdr:rowOff>9525</xdr:rowOff>
    </xdr:to>
    <xdr:sp macro="" textlink="">
      <xdr:nvSpPr>
        <xdr:cNvPr id="10" name="四角形: 角を丸くする 9">
          <a:extLst>
            <a:ext uri="{FF2B5EF4-FFF2-40B4-BE49-F238E27FC236}">
              <a16:creationId xmlns:a16="http://schemas.microsoft.com/office/drawing/2014/main" id="{8208F7A7-E425-4FB2-99AF-A76C2990A943}"/>
            </a:ext>
          </a:extLst>
        </xdr:cNvPr>
        <xdr:cNvSpPr/>
      </xdr:nvSpPr>
      <xdr:spPr>
        <a:xfrm>
          <a:off x="1731071" y="20897850"/>
          <a:ext cx="1086764" cy="371475"/>
        </a:xfrm>
        <a:prstGeom prst="round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7</xdr:col>
      <xdr:colOff>161925</xdr:colOff>
      <xdr:row>77</xdr:row>
      <xdr:rowOff>47625</xdr:rowOff>
    </xdr:from>
    <xdr:to>
      <xdr:col>14</xdr:col>
      <xdr:colOff>438150</xdr:colOff>
      <xdr:row>90</xdr:row>
      <xdr:rowOff>114300</xdr:rowOff>
    </xdr:to>
    <xdr:pic>
      <xdr:nvPicPr>
        <xdr:cNvPr id="12887" name="図 12">
          <a:extLst>
            <a:ext uri="{FF2B5EF4-FFF2-40B4-BE49-F238E27FC236}">
              <a16:creationId xmlns:a16="http://schemas.microsoft.com/office/drawing/2014/main" id="{8CC43682-9610-4F87-891D-476474C9018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3255" t="2165" r="1213" b="67662"/>
        <a:stretch>
          <a:fillRect/>
        </a:stretch>
      </xdr:blipFill>
      <xdr:spPr bwMode="auto">
        <a:xfrm>
          <a:off x="4629150" y="13792200"/>
          <a:ext cx="5076825"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219076</xdr:colOff>
      <xdr:row>96</xdr:row>
      <xdr:rowOff>349626</xdr:rowOff>
    </xdr:from>
    <xdr:to>
      <xdr:col>13</xdr:col>
      <xdr:colOff>504825</xdr:colOff>
      <xdr:row>96</xdr:row>
      <xdr:rowOff>542926</xdr:rowOff>
    </xdr:to>
    <xdr:sp macro="" textlink="">
      <xdr:nvSpPr>
        <xdr:cNvPr id="12" name="四角形: 角を丸くする 11">
          <a:extLst>
            <a:ext uri="{FF2B5EF4-FFF2-40B4-BE49-F238E27FC236}">
              <a16:creationId xmlns:a16="http://schemas.microsoft.com/office/drawing/2014/main" id="{D265716F-70AC-4BA8-AA01-3E1BA927C127}"/>
            </a:ext>
          </a:extLst>
        </xdr:cNvPr>
        <xdr:cNvSpPr/>
      </xdr:nvSpPr>
      <xdr:spPr>
        <a:xfrm>
          <a:off x="6743701" y="17351751"/>
          <a:ext cx="2343149" cy="193300"/>
        </a:xfrm>
        <a:prstGeom prst="round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601772</xdr:colOff>
      <xdr:row>84</xdr:row>
      <xdr:rowOff>112780</xdr:rowOff>
    </xdr:from>
    <xdr:to>
      <xdr:col>10</xdr:col>
      <xdr:colOff>338855</xdr:colOff>
      <xdr:row>86</xdr:row>
      <xdr:rowOff>84205</xdr:rowOff>
    </xdr:to>
    <xdr:sp macro="" textlink="">
      <xdr:nvSpPr>
        <xdr:cNvPr id="13" name="四角形: 角を丸くする 12">
          <a:extLst>
            <a:ext uri="{FF2B5EF4-FFF2-40B4-BE49-F238E27FC236}">
              <a16:creationId xmlns:a16="http://schemas.microsoft.com/office/drawing/2014/main" id="{07ABB75D-97D2-4BF4-BA39-BDCCB4C9798E}"/>
            </a:ext>
          </a:extLst>
        </xdr:cNvPr>
        <xdr:cNvSpPr/>
      </xdr:nvSpPr>
      <xdr:spPr>
        <a:xfrm>
          <a:off x="5735747" y="21886930"/>
          <a:ext cx="1108683" cy="314325"/>
        </a:xfrm>
        <a:prstGeom prst="roundRect">
          <a:avLst/>
        </a:prstGeom>
        <a:noFill/>
        <a:ln w="571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468945</xdr:colOff>
      <xdr:row>83</xdr:row>
      <xdr:rowOff>161926</xdr:rowOff>
    </xdr:from>
    <xdr:to>
      <xdr:col>10</xdr:col>
      <xdr:colOff>647700</xdr:colOff>
      <xdr:row>96</xdr:row>
      <xdr:rowOff>314325</xdr:rowOff>
    </xdr:to>
    <xdr:cxnSp macro="">
      <xdr:nvCxnSpPr>
        <xdr:cNvPr id="14" name="直線矢印コネクタ 13">
          <a:extLst>
            <a:ext uri="{FF2B5EF4-FFF2-40B4-BE49-F238E27FC236}">
              <a16:creationId xmlns:a16="http://schemas.microsoft.com/office/drawing/2014/main" id="{2615B44B-3DDA-47A2-A310-C2F3B88341FB}"/>
            </a:ext>
          </a:extLst>
        </xdr:cNvPr>
        <xdr:cNvCxnSpPr/>
      </xdr:nvCxnSpPr>
      <xdr:spPr>
        <a:xfrm flipH="1" flipV="1">
          <a:off x="2878770" y="14935201"/>
          <a:ext cx="4293555" cy="2381249"/>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482774</xdr:colOff>
      <xdr:row>80</xdr:row>
      <xdr:rowOff>104384</xdr:rowOff>
    </xdr:from>
    <xdr:to>
      <xdr:col>8</xdr:col>
      <xdr:colOff>602317</xdr:colOff>
      <xdr:row>84</xdr:row>
      <xdr:rowOff>98051</xdr:rowOff>
    </xdr:to>
    <xdr:cxnSp macro="">
      <xdr:nvCxnSpPr>
        <xdr:cNvPr id="15" name="直線矢印コネクタ 14">
          <a:extLst>
            <a:ext uri="{FF2B5EF4-FFF2-40B4-BE49-F238E27FC236}">
              <a16:creationId xmlns:a16="http://schemas.microsoft.com/office/drawing/2014/main" id="{590A05D2-F9D0-4706-ABDF-B32641EC7C47}"/>
            </a:ext>
          </a:extLst>
        </xdr:cNvPr>
        <xdr:cNvCxnSpPr/>
      </xdr:nvCxnSpPr>
      <xdr:spPr>
        <a:xfrm flipH="1" flipV="1">
          <a:off x="2873549" y="21192734"/>
          <a:ext cx="2862743" cy="679467"/>
        </a:xfrm>
        <a:prstGeom prst="straightConnector1">
          <a:avLst/>
        </a:prstGeom>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57150</xdr:colOff>
      <xdr:row>20</xdr:row>
      <xdr:rowOff>104775</xdr:rowOff>
    </xdr:from>
    <xdr:to>
      <xdr:col>9</xdr:col>
      <xdr:colOff>552450</xdr:colOff>
      <xdr:row>30</xdr:row>
      <xdr:rowOff>57150</xdr:rowOff>
    </xdr:to>
    <xdr:pic>
      <xdr:nvPicPr>
        <xdr:cNvPr id="12892" name="図 103">
          <a:extLst>
            <a:ext uri="{FF2B5EF4-FFF2-40B4-BE49-F238E27FC236}">
              <a16:creationId xmlns:a16="http://schemas.microsoft.com/office/drawing/2014/main" id="{15DA674C-51C4-46DC-A8D9-A017188540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r="174"/>
        <a:stretch>
          <a:fillRect/>
        </a:stretch>
      </xdr:blipFill>
      <xdr:spPr bwMode="auto">
        <a:xfrm>
          <a:off x="409575" y="3667125"/>
          <a:ext cx="59817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460887</xdr:colOff>
      <xdr:row>26</xdr:row>
      <xdr:rowOff>102421</xdr:rowOff>
    </xdr:from>
    <xdr:to>
      <xdr:col>9</xdr:col>
      <xdr:colOff>0</xdr:colOff>
      <xdr:row>30</xdr:row>
      <xdr:rowOff>152400</xdr:rowOff>
    </xdr:to>
    <xdr:sp macro="" textlink="">
      <xdr:nvSpPr>
        <xdr:cNvPr id="17" name="吹き出し: 角を丸めた四角形 16">
          <a:extLst>
            <a:ext uri="{FF2B5EF4-FFF2-40B4-BE49-F238E27FC236}">
              <a16:creationId xmlns:a16="http://schemas.microsoft.com/office/drawing/2014/main" id="{D1DBCE2F-DBB1-4456-8491-CBA3D01DB75D}"/>
            </a:ext>
          </a:extLst>
        </xdr:cNvPr>
        <xdr:cNvSpPr/>
      </xdr:nvSpPr>
      <xdr:spPr>
        <a:xfrm>
          <a:off x="2870712" y="4693471"/>
          <a:ext cx="2968113" cy="735779"/>
        </a:xfrm>
        <a:prstGeom prst="wedgeRoundRectCallout">
          <a:avLst>
            <a:gd name="adj1" fmla="val -72548"/>
            <a:gd name="adj2" fmla="val -165240"/>
            <a:gd name="adj3" fmla="val 16667"/>
          </a:avLst>
        </a:prstGeom>
        <a:solidFill>
          <a:schemeClr val="bg1"/>
        </a:solidFill>
        <a:ln w="285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令和８年１月１日時点の年齢を選択してください。</a:t>
          </a:r>
          <a:endParaRPr kumimoji="1" lang="en-US" altLang="ja-JP" sz="1000">
            <a:solidFill>
              <a:sysClr val="windowText" lastClr="000000"/>
            </a:solidFill>
          </a:endParaRPr>
        </a:p>
        <a:p>
          <a:pPr algn="l"/>
          <a:r>
            <a:rPr kumimoji="1" lang="ja-JP" altLang="en-US" sz="1000">
              <a:solidFill>
                <a:sysClr val="windowText" lastClr="000000"/>
              </a:solidFill>
            </a:rPr>
            <a:t>収入がない方や乳幼児も含めて加入者全員分を入力してください。</a:t>
          </a:r>
          <a:endParaRPr kumimoji="1" lang="en-US" altLang="ja-JP" sz="1000">
            <a:solidFill>
              <a:sysClr val="windowText" lastClr="000000"/>
            </a:solidFill>
          </a:endParaRPr>
        </a:p>
        <a:p>
          <a:pPr algn="l">
            <a:lnSpc>
              <a:spcPts val="1200"/>
            </a:lnSpc>
          </a:pPr>
          <a:endParaRPr kumimoji="1" lang="ja-JP" altLang="en-US" sz="1100">
            <a:solidFill>
              <a:sysClr val="windowText" lastClr="000000"/>
            </a:solidFill>
          </a:endParaRPr>
        </a:p>
      </xdr:txBody>
    </xdr:sp>
    <xdr:clientData/>
  </xdr:twoCellAnchor>
  <xdr:twoCellAnchor>
    <xdr:from>
      <xdr:col>0</xdr:col>
      <xdr:colOff>219809</xdr:colOff>
      <xdr:row>0</xdr:row>
      <xdr:rowOff>73269</xdr:rowOff>
    </xdr:from>
    <xdr:to>
      <xdr:col>15</xdr:col>
      <xdr:colOff>10027</xdr:colOff>
      <xdr:row>103</xdr:row>
      <xdr:rowOff>97692</xdr:rowOff>
    </xdr:to>
    <xdr:sp macro="" textlink="">
      <xdr:nvSpPr>
        <xdr:cNvPr id="21" name="正方形/長方形 20">
          <a:extLst>
            <a:ext uri="{FF2B5EF4-FFF2-40B4-BE49-F238E27FC236}">
              <a16:creationId xmlns:a16="http://schemas.microsoft.com/office/drawing/2014/main" id="{45086158-B0F6-46FF-9FC9-7F8EDE4A6ABE}"/>
            </a:ext>
          </a:extLst>
        </xdr:cNvPr>
        <xdr:cNvSpPr/>
      </xdr:nvSpPr>
      <xdr:spPr>
        <a:xfrm>
          <a:off x="219809" y="73269"/>
          <a:ext cx="9686192" cy="18903976"/>
        </a:xfrm>
        <a:prstGeom prst="rect">
          <a:avLst/>
        </a:prstGeom>
        <a:no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726980</xdr:colOff>
      <xdr:row>6</xdr:row>
      <xdr:rowOff>192405</xdr:rowOff>
    </xdr:from>
    <xdr:ext cx="4956357" cy="992579"/>
    <xdr:sp macro="" textlink="">
      <xdr:nvSpPr>
        <xdr:cNvPr id="2" name="正方形/長方形 1">
          <a:extLst>
            <a:ext uri="{FF2B5EF4-FFF2-40B4-BE49-F238E27FC236}">
              <a16:creationId xmlns:a16="http://schemas.microsoft.com/office/drawing/2014/main" id="{ADD4DF50-5EB0-4740-97AD-60D42D9956F6}"/>
            </a:ext>
          </a:extLst>
        </xdr:cNvPr>
        <xdr:cNvSpPr/>
      </xdr:nvSpPr>
      <xdr:spPr>
        <a:xfrm>
          <a:off x="2689130" y="1668780"/>
          <a:ext cx="4956357" cy="992579"/>
        </a:xfrm>
        <a:prstGeom prst="rect">
          <a:avLst/>
        </a:prstGeom>
        <a:noFill/>
      </xdr:spPr>
      <xdr:txBody>
        <a:bodyPr wrap="none" lIns="91440" tIns="45720" rIns="91440" bIns="45720">
          <a:spAutoFit/>
        </a:bodyPr>
        <a:lstStyle/>
        <a:p>
          <a:pPr algn="ctr"/>
          <a:r>
            <a:rPr lang="ja-JP" altLang="en-US" sz="5400" b="1" cap="none" spc="0">
              <a:ln w="24500" cmpd="dbl">
                <a:solidFill>
                  <a:schemeClr val="accent2">
                    <a:shade val="85000"/>
                    <a:satMod val="155000"/>
                  </a:schemeClr>
                </a:solidFill>
                <a:prstDash val="solid"/>
                <a:miter lim="800000"/>
              </a:ln>
              <a:gradFill>
                <a:gsLst>
                  <a:gs pos="10000">
                    <a:schemeClr val="accent2">
                      <a:tint val="10000"/>
                      <a:satMod val="155000"/>
                    </a:schemeClr>
                  </a:gs>
                  <a:gs pos="60000">
                    <a:schemeClr val="accent2">
                      <a:tint val="30000"/>
                      <a:satMod val="155000"/>
                    </a:schemeClr>
                  </a:gs>
                  <a:gs pos="100000">
                    <a:schemeClr val="accent2">
                      <a:tint val="73000"/>
                      <a:satMod val="155000"/>
                    </a:schemeClr>
                  </a:gs>
                </a:gsLst>
                <a:lin ang="5400000"/>
              </a:gradFill>
              <a:effectLst>
                <a:outerShdw blurRad="38100" dist="38100" dir="7020000" algn="tl">
                  <a:srgbClr val="000000">
                    <a:alpha val="35000"/>
                  </a:srgbClr>
                </a:outerShdw>
              </a:effectLst>
            </a:rPr>
            <a:t>印刷用です！！</a:t>
          </a:r>
        </a:p>
      </xdr:txBody>
    </xdr:sp>
    <xdr:clientData fPrintsWithSheet="0"/>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pageSetUpPr fitToPage="1"/>
  </sheetPr>
  <dimension ref="B41:B45"/>
  <sheetViews>
    <sheetView showGridLines="0" tabSelected="1" workbookViewId="0">
      <selection activeCell="B45" sqref="B45"/>
    </sheetView>
  </sheetViews>
  <sheetFormatPr defaultRowHeight="13.5" x14ac:dyDescent="0.15"/>
  <sheetData>
    <row r="41" spans="2:2" ht="42" customHeight="1" x14ac:dyDescent="0.15"/>
    <row r="42" spans="2:2" ht="23.25" customHeight="1" x14ac:dyDescent="0.15"/>
    <row r="43" spans="2:2" x14ac:dyDescent="0.15">
      <c r="B43" s="288" t="s">
        <v>157</v>
      </c>
    </row>
    <row r="45" spans="2:2" x14ac:dyDescent="0.15">
      <c r="B45" s="290" t="str">
        <f>HYPERLINK("#収入・所得の入力について!A1","次へ")</f>
        <v>次へ</v>
      </c>
    </row>
  </sheetData>
  <sheetProtection algorithmName="SHA-512" hashValue="q9uQKS6eSNfqAQYdfciDsFZ8wBhPWiOpDhroH9AuQDwT0G4zlZW/GacIam0Om5wqZGdwlpaY4lIbrut1k1f2sQ==" saltValue="LeKm9RR8FMJ45EXLJ7exJQ==" spinCount="100000" sheet="1" objects="1" scenarios="1" selectLockedCells="1"/>
  <phoneticPr fontId="3"/>
  <pageMargins left="0.7" right="0.7" top="0.75" bottom="0.75" header="0.3" footer="0.3"/>
  <pageSetup paperSize="9" scale="62"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dimension ref="B3:V60"/>
  <sheetViews>
    <sheetView zoomScale="85" zoomScaleNormal="85" workbookViewId="0">
      <selection activeCell="K30" sqref="K30"/>
    </sheetView>
  </sheetViews>
  <sheetFormatPr defaultRowHeight="13.5" x14ac:dyDescent="0.15"/>
  <cols>
    <col min="2" max="2" width="10.5" bestFit="1" customWidth="1"/>
    <col min="3" max="3" width="10.375" customWidth="1"/>
    <col min="4" max="4" width="10.5" customWidth="1"/>
    <col min="7" max="21" width="10.5" customWidth="1"/>
    <col min="22" max="22" width="3.375" customWidth="1"/>
    <col min="23" max="23" width="10.5" customWidth="1"/>
  </cols>
  <sheetData>
    <row r="3" spans="2:22" ht="14.25" x14ac:dyDescent="0.15">
      <c r="G3" s="4" t="s">
        <v>3</v>
      </c>
      <c r="H3" s="130">
        <f>I12+I22+I31+I41+I50+I60</f>
        <v>0</v>
      </c>
      <c r="J3" s="4" t="s">
        <v>4</v>
      </c>
      <c r="K3" s="130">
        <f>L12+L22+L31+L41+L50+L60</f>
        <v>0</v>
      </c>
      <c r="M3" s="4" t="s">
        <v>5</v>
      </c>
      <c r="N3" s="130">
        <f>O12+O22+O31+O41+O50+O60</f>
        <v>0</v>
      </c>
      <c r="P3" s="4" t="s">
        <v>6</v>
      </c>
      <c r="Q3" s="130">
        <f>R12+R22+R31+R41+R50+R60</f>
        <v>0</v>
      </c>
      <c r="S3" s="4" t="s">
        <v>7</v>
      </c>
      <c r="T3" s="130">
        <f>U12+U22+U31+U41+U50+U60</f>
        <v>0</v>
      </c>
    </row>
    <row r="5" spans="2:22" x14ac:dyDescent="0.15">
      <c r="F5" s="112"/>
      <c r="G5" s="113" t="s">
        <v>69</v>
      </c>
      <c r="H5" s="113"/>
      <c r="I5" s="113"/>
      <c r="J5" s="113"/>
      <c r="K5" s="113"/>
      <c r="L5" s="113"/>
      <c r="M5" s="113"/>
      <c r="N5" s="113"/>
      <c r="O5" s="113"/>
      <c r="P5" s="113"/>
      <c r="Q5" s="113"/>
      <c r="R5" s="113"/>
      <c r="S5" s="113"/>
      <c r="T5" s="113"/>
      <c r="U5" s="113"/>
      <c r="V5" s="114"/>
    </row>
    <row r="6" spans="2:22" x14ac:dyDescent="0.15">
      <c r="B6" s="121">
        <f>IF(年金所得速算表!B8&lt;65,年金所得速算表!B10,0)</f>
        <v>0</v>
      </c>
      <c r="C6" s="121">
        <f>IF(B6&lt;=600000,0,0)</f>
        <v>0</v>
      </c>
      <c r="D6" s="121">
        <f>IF(C6=0,0,)</f>
        <v>0</v>
      </c>
      <c r="F6" s="85"/>
      <c r="G6" s="8">
        <f>IF(AND(国保計算!$C$18&lt;=10000000,年金所得速算表!$G$6&lt;65),年金所得速算表!$G$8,0)</f>
        <v>0</v>
      </c>
      <c r="H6" s="9">
        <f>IF(G6&lt;=600000,0,0)</f>
        <v>0</v>
      </c>
      <c r="I6" s="40">
        <f>IF(H6=0,0,)</f>
        <v>0</v>
      </c>
      <c r="J6" s="8">
        <f>IF(AND(国保計算!D18&lt;=10000000,年金所得速算表!$H$6&lt;65),年金所得速算表!$H$8,0)</f>
        <v>0</v>
      </c>
      <c r="K6" s="9">
        <f>IF(J6&lt;=600000,0,0)</f>
        <v>0</v>
      </c>
      <c r="L6" s="40">
        <f>IF(K6=0,0,)</f>
        <v>0</v>
      </c>
      <c r="M6" s="8">
        <f>IF(AND(国保計算!E18&lt;=10000000,年金所得速算表!$I$6&lt;65),年金所得速算表!$I$8,0)</f>
        <v>0</v>
      </c>
      <c r="N6" s="9">
        <f>IF(M6&lt;=600000,0,0)</f>
        <v>0</v>
      </c>
      <c r="O6" s="40">
        <f>IF(N6=0,0,)</f>
        <v>0</v>
      </c>
      <c r="P6" s="8">
        <f>IF(AND(国保計算!F18&lt;=10000000,年金所得速算表!$J$6&lt;65),年金所得速算表!$J$8,0)</f>
        <v>0</v>
      </c>
      <c r="Q6" s="9">
        <f>IF(P6&lt;=600000,0,0)</f>
        <v>0</v>
      </c>
      <c r="R6" s="40">
        <f>IF(Q6=0,0,)</f>
        <v>0</v>
      </c>
      <c r="S6" s="8">
        <f>IF(AND(国保計算!G18&lt;=10000000,年金所得速算表!$K$6&lt;65),年金所得速算表!$K$8,0)</f>
        <v>0</v>
      </c>
      <c r="T6" s="9">
        <f>IF(S6&lt;=600000,0,0)</f>
        <v>0</v>
      </c>
      <c r="U6" s="40">
        <f>IF(T6=0,0,)</f>
        <v>0</v>
      </c>
      <c r="V6" s="116"/>
    </row>
    <row r="7" spans="2:22" x14ac:dyDescent="0.15">
      <c r="B7" s="332" t="s">
        <v>42</v>
      </c>
      <c r="C7" s="121">
        <f>IF(AND(B6&gt;=600001,B6&lt;=1299999),B6,0)</f>
        <v>0</v>
      </c>
      <c r="D7" s="121">
        <f>IF(C7=0,0,C7-600000)</f>
        <v>0</v>
      </c>
      <c r="F7" s="85"/>
      <c r="G7" s="86"/>
      <c r="H7" s="9">
        <f>IF(AND(G6&gt;=600001,G6&lt;=1299999),G6,0)</f>
        <v>0</v>
      </c>
      <c r="I7" s="40">
        <f>IF(H7=0,0,H7-600000)</f>
        <v>0</v>
      </c>
      <c r="J7" s="86"/>
      <c r="K7" s="9">
        <f>IF(AND(J6&gt;=600001,J6&lt;=1299999),J6,0)</f>
        <v>0</v>
      </c>
      <c r="L7" s="40">
        <f>IF(K7=0,0,K7-600000)</f>
        <v>0</v>
      </c>
      <c r="M7" s="86"/>
      <c r="N7" s="9">
        <f>IF(AND(M6&gt;=600001,M6&lt;=1299999),M6,0)</f>
        <v>0</v>
      </c>
      <c r="O7" s="40">
        <f>IF(N7=0,0,N7-600000)</f>
        <v>0</v>
      </c>
      <c r="P7" s="86"/>
      <c r="Q7" s="9">
        <f>IF(AND(P6&gt;=600001,P6&lt;=1299999),P6,0)</f>
        <v>0</v>
      </c>
      <c r="R7" s="40">
        <f>IF(Q7=0,0,Q7-600000)</f>
        <v>0</v>
      </c>
      <c r="S7" s="86"/>
      <c r="T7" s="9">
        <f>IF(AND(S6&gt;=600001,S6&lt;=1299999),S6,0)</f>
        <v>0</v>
      </c>
      <c r="U7" s="40">
        <f>IF(T7=0,0,T7-600000)</f>
        <v>0</v>
      </c>
      <c r="V7" s="116"/>
    </row>
    <row r="8" spans="2:22" x14ac:dyDescent="0.15">
      <c r="B8" s="333"/>
      <c r="C8" s="121">
        <f>IF(AND(B6&gt;=1300000,B6&lt;=4099999),B6,0)</f>
        <v>0</v>
      </c>
      <c r="D8" s="121">
        <f>IF(C8=0,0,ROUNDDOWN(C8*0.75,0)-275000)</f>
        <v>0</v>
      </c>
      <c r="F8" s="85"/>
      <c r="G8" s="86"/>
      <c r="H8" s="9">
        <f>IF(AND(G6&gt;=1300000,G6&lt;=4099999),G6,0)</f>
        <v>0</v>
      </c>
      <c r="I8" s="40">
        <f>IF(H8=0,0,ROUNDDOWN(H8*0.75,0)-275000)</f>
        <v>0</v>
      </c>
      <c r="J8" s="86"/>
      <c r="K8" s="9">
        <f>IF(AND(J6&gt;=1300000,J6&lt;=4099999),J6,0)</f>
        <v>0</v>
      </c>
      <c r="L8" s="40">
        <f>IF(K8=0,0,ROUNDDOWN(K8*0.75,0)-275000)</f>
        <v>0</v>
      </c>
      <c r="M8" s="86"/>
      <c r="N8" s="9">
        <f>IF(AND(M6&gt;=1300000,M6&lt;=4099999),M6,0)</f>
        <v>0</v>
      </c>
      <c r="O8" s="40">
        <f>IF(N8=0,0,ROUNDDOWN(N8*0.75,0)-275000)</f>
        <v>0</v>
      </c>
      <c r="P8" s="86"/>
      <c r="Q8" s="9">
        <f>IF(AND(P6&gt;=1300000,P6&lt;=4099999),P6,0)</f>
        <v>0</v>
      </c>
      <c r="R8" s="40">
        <f>IF(Q8=0,0,ROUNDDOWN(Q8*0.75,0)-275000)</f>
        <v>0</v>
      </c>
      <c r="S8" s="86"/>
      <c r="T8" s="9">
        <f>IF(AND(S6&gt;=1300000,S6&lt;=4099999),S6,0)</f>
        <v>0</v>
      </c>
      <c r="U8" s="40">
        <f>IF(T8=0,0,ROUNDDOWN(T8*0.75,0)-275000)</f>
        <v>0</v>
      </c>
      <c r="V8" s="116"/>
    </row>
    <row r="9" spans="2:22" x14ac:dyDescent="0.15">
      <c r="B9" s="333"/>
      <c r="C9" s="121">
        <f>IF(AND(B6&gt;=4100000,B6&lt;=7699999),B6,0)</f>
        <v>0</v>
      </c>
      <c r="D9" s="121">
        <f>IF(C9=0,0,ROUNDDOWN(C9*0.85,0)-685000)</f>
        <v>0</v>
      </c>
      <c r="F9" s="135" t="s">
        <v>83</v>
      </c>
      <c r="G9" s="86"/>
      <c r="H9" s="9">
        <f>IF(AND(G6&gt;=4100000,G6&lt;=7699999),G6,0)</f>
        <v>0</v>
      </c>
      <c r="I9" s="40">
        <f>IF(H9=0,0,ROUNDDOWN(H9*0.85,0)-685000)</f>
        <v>0</v>
      </c>
      <c r="J9" s="86"/>
      <c r="K9" s="9">
        <f>IF(AND(J6&gt;=4100000,J6&lt;=7699999),J6,0)</f>
        <v>0</v>
      </c>
      <c r="L9" s="40">
        <f>IF(K9=0,0,ROUNDDOWN(K9*0.85,0)-685000)</f>
        <v>0</v>
      </c>
      <c r="M9" s="86"/>
      <c r="N9" s="9">
        <f>IF(AND(M6&gt;=4100000,M6&lt;=7699999),M6,0)</f>
        <v>0</v>
      </c>
      <c r="O9" s="40">
        <f>IF(N9=0,0,ROUNDDOWN(N9*0.85,0)-685000)</f>
        <v>0</v>
      </c>
      <c r="P9" s="86"/>
      <c r="Q9" s="9">
        <f>IF(AND(P6&gt;=4100000,P6&lt;=7699999),P6,0)</f>
        <v>0</v>
      </c>
      <c r="R9" s="40">
        <f>IF(Q9=0,0,ROUNDDOWN(Q9*0.85,0)-685000)</f>
        <v>0</v>
      </c>
      <c r="S9" s="86"/>
      <c r="T9" s="9">
        <f>IF(AND(S6&gt;=4100000,S6&lt;=7699999),S6,0)</f>
        <v>0</v>
      </c>
      <c r="U9" s="40">
        <f>IF(T9=0,0,ROUNDDOWN(T9*0.85,0)-685000)</f>
        <v>0</v>
      </c>
      <c r="V9" s="116"/>
    </row>
    <row r="10" spans="2:22" x14ac:dyDescent="0.15">
      <c r="B10" s="334"/>
      <c r="C10" s="121">
        <f>IF(B6&gt;=7700000,B6,0)</f>
        <v>0</v>
      </c>
      <c r="D10" s="121">
        <f>IF(C10=0,0,ROUNDDOWN(C10*0.95,0)-1455000)</f>
        <v>0</v>
      </c>
      <c r="F10" s="135" t="s">
        <v>84</v>
      </c>
      <c r="G10" s="86"/>
      <c r="H10" s="9">
        <f>IF(AND(G6&gt;=7700000,G6&lt;=9999999),G6,0)</f>
        <v>0</v>
      </c>
      <c r="I10" s="40">
        <f>IF(H10=0,0,ROUNDDOWN(H10*0.95,0)-1455000)</f>
        <v>0</v>
      </c>
      <c r="J10" s="86"/>
      <c r="K10" s="9">
        <f>IF(AND(J6&gt;=7700000,J6&lt;=9999999),J6,0)</f>
        <v>0</v>
      </c>
      <c r="L10" s="40">
        <f>IF(K10=0,0,ROUNDDOWN(K10*0.95,0)-1455000)</f>
        <v>0</v>
      </c>
      <c r="M10" s="86"/>
      <c r="N10" s="9">
        <f>IF(AND(M6&gt;=7700000,M6&lt;=9999999),M6,0)</f>
        <v>0</v>
      </c>
      <c r="O10" s="40">
        <f>IF(N10=0,0,ROUNDDOWN(N10*0.95,0)-1455000)</f>
        <v>0</v>
      </c>
      <c r="P10" s="86"/>
      <c r="Q10" s="9">
        <f>IF(AND(P6&gt;=7700000,P6&lt;=9999999),P6,0)</f>
        <v>0</v>
      </c>
      <c r="R10" s="40">
        <f>IF(Q10=0,0,ROUNDDOWN(Q10*0.95,0)-1455000)</f>
        <v>0</v>
      </c>
      <c r="S10" s="86"/>
      <c r="T10" s="9">
        <f>IF(AND(S6&gt;=7700000,S6&lt;=9999999),S6,0)</f>
        <v>0</v>
      </c>
      <c r="U10" s="40">
        <f>IF(T10=0,0,ROUNDDOWN(T10*0.95,0)-1455000)</f>
        <v>0</v>
      </c>
      <c r="V10" s="116"/>
    </row>
    <row r="11" spans="2:22" x14ac:dyDescent="0.15">
      <c r="B11" s="122"/>
      <c r="C11" s="121">
        <f>IF(B6&gt;=10000000,B6,0)</f>
        <v>0</v>
      </c>
      <c r="D11" s="121">
        <f>IF(C11=0,0,#REF!-1955000)</f>
        <v>0</v>
      </c>
      <c r="F11" s="85" t="s">
        <v>80</v>
      </c>
      <c r="G11" s="86"/>
      <c r="H11" s="9">
        <f>IF(G6&gt;=10000000,G6,0)</f>
        <v>0</v>
      </c>
      <c r="I11" s="40">
        <f>IF(H11=0,0,H11-1955000)</f>
        <v>0</v>
      </c>
      <c r="J11" s="86"/>
      <c r="K11" s="9">
        <f>IF(J6&gt;=10000000,J6,0)</f>
        <v>0</v>
      </c>
      <c r="L11" s="40">
        <f>IF(K11=0,0,K11-1955000)</f>
        <v>0</v>
      </c>
      <c r="M11" s="86"/>
      <c r="N11" s="9">
        <f>IF(M6&gt;=10000000,M6,0)</f>
        <v>0</v>
      </c>
      <c r="O11" s="40">
        <f>IF(N11=0,0,N11-1955000)</f>
        <v>0</v>
      </c>
      <c r="P11" s="86"/>
      <c r="Q11" s="9">
        <f>IF(P6&gt;=10000000,P6,0)</f>
        <v>0</v>
      </c>
      <c r="R11" s="40">
        <f>IF(Q11=0,0,Q11-1955000)</f>
        <v>0</v>
      </c>
      <c r="S11" s="86"/>
      <c r="T11" s="9">
        <f>IF(S6&gt;=10000000,S6,0)</f>
        <v>0</v>
      </c>
      <c r="U11" s="40">
        <f>IF(T11=0,0,T11-1955000)</f>
        <v>0</v>
      </c>
      <c r="V11" s="116"/>
    </row>
    <row r="12" spans="2:22" x14ac:dyDescent="0.15">
      <c r="B12" s="122"/>
      <c r="C12" s="122"/>
      <c r="D12" s="123">
        <f>SUM(D6:D11)</f>
        <v>0</v>
      </c>
      <c r="F12" s="85"/>
      <c r="G12" s="86"/>
      <c r="H12" s="86"/>
      <c r="I12" s="115">
        <f>SUM(I6:I11)</f>
        <v>0</v>
      </c>
      <c r="J12" s="86"/>
      <c r="K12" s="86"/>
      <c r="L12" s="115">
        <f>SUM(L6:L11)</f>
        <v>0</v>
      </c>
      <c r="M12" s="86"/>
      <c r="N12" s="86"/>
      <c r="O12" s="115">
        <f>SUM(O6:O11)</f>
        <v>0</v>
      </c>
      <c r="P12" s="86"/>
      <c r="Q12" s="86"/>
      <c r="R12" s="115">
        <f>SUM(R6:R11)</f>
        <v>0</v>
      </c>
      <c r="S12" s="86"/>
      <c r="T12" s="86"/>
      <c r="U12" s="115">
        <f>SUM(U6:U11)</f>
        <v>0</v>
      </c>
      <c r="V12" s="116"/>
    </row>
    <row r="13" spans="2:22" x14ac:dyDescent="0.15">
      <c r="B13" s="122"/>
      <c r="C13" s="122"/>
      <c r="D13" s="124"/>
      <c r="F13" s="85"/>
      <c r="G13" s="86"/>
      <c r="H13" s="86"/>
      <c r="I13" s="117"/>
      <c r="J13" s="86"/>
      <c r="K13" s="86"/>
      <c r="L13" s="117"/>
      <c r="M13" s="86"/>
      <c r="N13" s="86"/>
      <c r="O13" s="117"/>
      <c r="P13" s="86"/>
      <c r="Q13" s="86"/>
      <c r="R13" s="117"/>
      <c r="S13" s="86"/>
      <c r="T13" s="86"/>
      <c r="U13" s="117"/>
      <c r="V13" s="116"/>
    </row>
    <row r="14" spans="2:22" x14ac:dyDescent="0.15">
      <c r="B14" s="122"/>
      <c r="C14" s="122"/>
      <c r="D14" s="124"/>
      <c r="F14" s="85"/>
      <c r="G14" s="86"/>
      <c r="H14" s="86"/>
      <c r="I14" s="117"/>
      <c r="J14" s="86"/>
      <c r="K14" s="86"/>
      <c r="L14" s="117"/>
      <c r="M14" s="86"/>
      <c r="N14" s="86"/>
      <c r="O14" s="117"/>
      <c r="P14" s="86"/>
      <c r="Q14" s="86"/>
      <c r="R14" s="117"/>
      <c r="S14" s="86"/>
      <c r="T14" s="86"/>
      <c r="U14" s="117"/>
      <c r="V14" s="116"/>
    </row>
    <row r="15" spans="2:22" x14ac:dyDescent="0.15">
      <c r="B15" s="121">
        <f>IF(年金所得速算表!B8&gt;=65,年金所得速算表!B10,0)</f>
        <v>1422551</v>
      </c>
      <c r="C15" s="121">
        <f>IF(B15&lt;=1100000,0,0)</f>
        <v>0</v>
      </c>
      <c r="D15" s="121">
        <f>IF(C15=0,0,)</f>
        <v>0</v>
      </c>
      <c r="F15" s="85"/>
      <c r="G15" s="115" t="s">
        <v>70</v>
      </c>
      <c r="H15" s="86"/>
      <c r="I15" s="117"/>
      <c r="J15" s="86"/>
      <c r="K15" s="86"/>
      <c r="L15" s="117"/>
      <c r="M15" s="86"/>
      <c r="N15" s="86"/>
      <c r="O15" s="117"/>
      <c r="P15" s="86"/>
      <c r="Q15" s="86"/>
      <c r="R15" s="117"/>
      <c r="S15" s="86"/>
      <c r="T15" s="86"/>
      <c r="U15" s="117"/>
      <c r="V15" s="116"/>
    </row>
    <row r="16" spans="2:22" x14ac:dyDescent="0.15">
      <c r="B16" s="332" t="s">
        <v>43</v>
      </c>
      <c r="C16" s="121">
        <f>IF(AND(B15&gt;=1100001,B15&lt;=3299999),B15,0)</f>
        <v>1422551</v>
      </c>
      <c r="D16" s="121">
        <f>IF(C16=0,0,C16-1100000)</f>
        <v>322551</v>
      </c>
      <c r="F16" s="85"/>
      <c r="G16" s="8">
        <f>IF(AND(国保計算!$C$18&lt;=10000000,年金所得速算表!$G$6&gt;=65),年金所得速算表!$G$8,0)</f>
        <v>0</v>
      </c>
      <c r="H16" s="9">
        <f>IF(G16&lt;=1100000,0,0)</f>
        <v>0</v>
      </c>
      <c r="I16" s="40">
        <f>IF(H16=0,0,)</f>
        <v>0</v>
      </c>
      <c r="J16" s="8">
        <f>IF(AND(国保計算!D18&lt;=10000000,年金所得速算表!$H$6&gt;=65),年金所得速算表!$H$8,0)</f>
        <v>0</v>
      </c>
      <c r="K16" s="9">
        <f>IF(J16&lt;=1100000,0,0)</f>
        <v>0</v>
      </c>
      <c r="L16" s="40">
        <f>IF(K16=0,0,)</f>
        <v>0</v>
      </c>
      <c r="M16" s="8">
        <f>IF(AND(国保計算!E18&lt;=10000000,年金所得速算表!$I$6&gt;=65),年金所得速算表!$I$8,0)</f>
        <v>0</v>
      </c>
      <c r="N16" s="9">
        <f>IF(M16&lt;=1100000,0,0)</f>
        <v>0</v>
      </c>
      <c r="O16" s="40">
        <f>IF(N16=0,0,)</f>
        <v>0</v>
      </c>
      <c r="P16" s="8">
        <f>IF(AND(国保計算!F18&lt;=10000000,年金所得速算表!$J$6&gt;=65),年金所得速算表!$J$8,0)</f>
        <v>0</v>
      </c>
      <c r="Q16" s="9">
        <f>IF(P16&lt;=1100000,0,0)</f>
        <v>0</v>
      </c>
      <c r="R16" s="40">
        <f>IF(Q16=0,0,)</f>
        <v>0</v>
      </c>
      <c r="S16" s="8">
        <f>IF(AND(国保計算!G18&lt;=10000000,年金所得速算表!$K$6&gt;=65),年金所得速算表!$K$8,0)</f>
        <v>0</v>
      </c>
      <c r="T16" s="9">
        <f>IF(S16&lt;=1100000,0,0)</f>
        <v>0</v>
      </c>
      <c r="U16" s="40">
        <f>IF(T16=0,0,)</f>
        <v>0</v>
      </c>
      <c r="V16" s="116"/>
    </row>
    <row r="17" spans="2:22" x14ac:dyDescent="0.15">
      <c r="B17" s="333"/>
      <c r="C17" s="121">
        <f>IF(AND(B15&gt;=3300000,B15&lt;=4099999),B15,0)</f>
        <v>0</v>
      </c>
      <c r="D17" s="121">
        <f>IF(C17=0,0,ROUNDDOWN(C17*0.75,0)-275000)</f>
        <v>0</v>
      </c>
      <c r="F17" s="85"/>
      <c r="G17" s="86"/>
      <c r="H17" s="9">
        <f>IF(AND(G16&gt;=1100001,G16&lt;=3299999),G16,0)</f>
        <v>0</v>
      </c>
      <c r="I17" s="40">
        <f>IF(H17=0,0,H17-1100000)</f>
        <v>0</v>
      </c>
      <c r="J17" s="86"/>
      <c r="K17" s="9">
        <f>IF(AND(J16&gt;=1100001,J16&lt;=3299999),J16,0)</f>
        <v>0</v>
      </c>
      <c r="L17" s="40">
        <f>IF(K17=0,0,K17-1100000)</f>
        <v>0</v>
      </c>
      <c r="M17" s="86"/>
      <c r="N17" s="9">
        <f>IF(AND(M16&gt;=1100001,M16&lt;=3299999),M16,0)</f>
        <v>0</v>
      </c>
      <c r="O17" s="40">
        <f>IF(N17=0,0,N17-1100000)</f>
        <v>0</v>
      </c>
      <c r="P17" s="86"/>
      <c r="Q17" s="9">
        <f>IF(AND(P16&gt;=1100001,P16&lt;=3299999),P16,0)</f>
        <v>0</v>
      </c>
      <c r="R17" s="40">
        <f>IF(Q17=0,0,Q17-1100000)</f>
        <v>0</v>
      </c>
      <c r="S17" s="86"/>
      <c r="T17" s="9">
        <f>IF(AND(S16&gt;=1100001,S16&lt;=3299999),S16,0)</f>
        <v>0</v>
      </c>
      <c r="U17" s="40">
        <f>IF(T17=0,0,T17-1100000)</f>
        <v>0</v>
      </c>
      <c r="V17" s="116"/>
    </row>
    <row r="18" spans="2:22" x14ac:dyDescent="0.15">
      <c r="B18" s="333"/>
      <c r="C18" s="121">
        <f>IF(AND(B15&gt;=4100000,B15&lt;=7699999),B15,0)</f>
        <v>0</v>
      </c>
      <c r="D18" s="121">
        <f>IF(C18=0,0,ROUNDDOWN(C18*0.85,0)-685000)</f>
        <v>0</v>
      </c>
      <c r="F18" s="85"/>
      <c r="G18" s="117"/>
      <c r="H18" s="9">
        <f>IF(AND(G16&gt;=3300000,G16&lt;=4099999),G16,0)</f>
        <v>0</v>
      </c>
      <c r="I18" s="40">
        <f>IF(H18=0,0,ROUNDDOWN(H18*0.75,0)-275000)</f>
        <v>0</v>
      </c>
      <c r="J18" s="117"/>
      <c r="K18" s="9">
        <f>IF(AND(J16&gt;=3300000,J16&lt;=4099999),J16,0)</f>
        <v>0</v>
      </c>
      <c r="L18" s="40">
        <f>IF(K18=0,0,ROUNDDOWN(K18*0.75,0)-275000)</f>
        <v>0</v>
      </c>
      <c r="M18" s="117"/>
      <c r="N18" s="9">
        <f>IF(AND(M16&gt;=3300000,M16&lt;=4099999),M16,0)</f>
        <v>0</v>
      </c>
      <c r="O18" s="40">
        <f>IF(N18=0,0,ROUNDDOWN(N18*0.75,0)-275000)</f>
        <v>0</v>
      </c>
      <c r="P18" s="117"/>
      <c r="Q18" s="9">
        <f>IF(AND(P16&gt;=3300000,P16&lt;=4099999),P16,0)</f>
        <v>0</v>
      </c>
      <c r="R18" s="40">
        <f>IF(Q18=0,0,ROUNDDOWN(Q18*0.75,0)-275000)</f>
        <v>0</v>
      </c>
      <c r="S18" s="117"/>
      <c r="T18" s="9">
        <f>IF(AND(S16&gt;=3300000,S16&lt;=4099999),S16,0)</f>
        <v>0</v>
      </c>
      <c r="U18" s="40">
        <f>IF(T18=0,0,ROUNDDOWN(T18*0.75,0)-275000)</f>
        <v>0</v>
      </c>
      <c r="V18" s="116"/>
    </row>
    <row r="19" spans="2:22" x14ac:dyDescent="0.15">
      <c r="B19" s="334"/>
      <c r="C19" s="121">
        <f>IF(AND(B15&gt;=7700000,B15&lt;=9999999),B15,0)</f>
        <v>0</v>
      </c>
      <c r="D19" s="121">
        <f>IF(C19=0,0,ROUNDDOWN(C19*0.95,0)-1455000)</f>
        <v>0</v>
      </c>
      <c r="F19" s="85"/>
      <c r="G19" s="117"/>
      <c r="H19" s="9">
        <f>IF(AND(G16&gt;=4100000,G16&lt;=7699999),G16,0)</f>
        <v>0</v>
      </c>
      <c r="I19" s="40">
        <f>IF(H19=0,0,ROUNDDOWN(H19*0.85,0)-685000)</f>
        <v>0</v>
      </c>
      <c r="J19" s="117"/>
      <c r="K19" s="9">
        <f>IF(AND(J16&gt;=4100000,J16&lt;=7699999),J16,0)</f>
        <v>0</v>
      </c>
      <c r="L19" s="40">
        <f>IF(K19=0,0,ROUNDDOWN(K19*0.85,0)-685000)</f>
        <v>0</v>
      </c>
      <c r="M19" s="117"/>
      <c r="N19" s="9">
        <f>IF(AND(M16&gt;=4100000,M16&lt;=7699999),M16,0)</f>
        <v>0</v>
      </c>
      <c r="O19" s="40">
        <f>IF(N19=0,0,ROUNDDOWN(N19*0.85,0)-685000)</f>
        <v>0</v>
      </c>
      <c r="P19" s="117"/>
      <c r="Q19" s="9">
        <f>IF(AND(P16&gt;=4100000,P16&lt;=7699999),P16,0)</f>
        <v>0</v>
      </c>
      <c r="R19" s="40">
        <f>IF(Q19=0,0,ROUNDDOWN(Q19*0.85,0)-685000)</f>
        <v>0</v>
      </c>
      <c r="S19" s="117"/>
      <c r="T19" s="9">
        <f>IF(AND(S16&gt;=4100000,S16&lt;=7699999),S16,0)</f>
        <v>0</v>
      </c>
      <c r="U19" s="40">
        <f>IF(T19=0,0,ROUNDDOWN(T19*0.85,0)-685000)</f>
        <v>0</v>
      </c>
      <c r="V19" s="116"/>
    </row>
    <row r="20" spans="2:22" x14ac:dyDescent="0.15">
      <c r="B20" s="125"/>
      <c r="C20" s="121">
        <f>IF(B15&gt;=10000000,B15,0)</f>
        <v>0</v>
      </c>
      <c r="D20" s="121">
        <f>IF(C20=0,0,C20-1955000)</f>
        <v>0</v>
      </c>
      <c r="F20" s="85"/>
      <c r="G20" s="117"/>
      <c r="H20" s="9">
        <f>IF(AND(G16&gt;=7700000,G16&lt;=9999999),G16,0)</f>
        <v>0</v>
      </c>
      <c r="I20" s="40">
        <f>IF(H20=0,0,ROUNDDOWN(H20*0.95,0)-1455000)</f>
        <v>0</v>
      </c>
      <c r="J20" s="117"/>
      <c r="K20" s="9">
        <f>IF(AND(J16&gt;=7700000,J16&lt;=9999999),J16,0)</f>
        <v>0</v>
      </c>
      <c r="L20" s="40">
        <f>IF(K20=0,0,ROUNDDOWN(K20*0.95,0)-1455000)</f>
        <v>0</v>
      </c>
      <c r="M20" s="117"/>
      <c r="N20" s="9">
        <f>IF(AND(M16&gt;=7700000,M16&lt;=9999999),M16,0)</f>
        <v>0</v>
      </c>
      <c r="O20" s="40">
        <f>IF(N20=0,0,ROUNDDOWN(N20*0.95,0)-1455000)</f>
        <v>0</v>
      </c>
      <c r="P20" s="117"/>
      <c r="Q20" s="9">
        <f>IF(AND(P16&gt;=7700000,P16&lt;=9999999),P16,0)</f>
        <v>0</v>
      </c>
      <c r="R20" s="40">
        <f>IF(Q20=0,0,ROUNDDOWN(Q20*0.95,0)-1455000)</f>
        <v>0</v>
      </c>
      <c r="S20" s="117"/>
      <c r="T20" s="9">
        <f>IF(AND(S16&gt;=7700000,S16&lt;=9999999),S16,0)</f>
        <v>0</v>
      </c>
      <c r="U20" s="40">
        <f>IF(T20=0,0,ROUNDDOWN(T20*0.95,0)-1455000)</f>
        <v>0</v>
      </c>
      <c r="V20" s="116"/>
    </row>
    <row r="21" spans="2:22" x14ac:dyDescent="0.15">
      <c r="B21" s="124"/>
      <c r="C21" s="124"/>
      <c r="D21" s="123">
        <f>SUM(D15:D20)</f>
        <v>322551</v>
      </c>
      <c r="F21" s="85"/>
      <c r="G21" s="117"/>
      <c r="H21" s="9">
        <f>IF(G16&gt;=10000000,G16,0)</f>
        <v>0</v>
      </c>
      <c r="I21" s="40">
        <f>IF(H21=0,0,H21-1955000)</f>
        <v>0</v>
      </c>
      <c r="J21" s="117"/>
      <c r="K21" s="9">
        <f>IF(J16&gt;=10000000,J16,0)</f>
        <v>0</v>
      </c>
      <c r="L21" s="40">
        <f>IF(K21=0,0,K21-1955000)</f>
        <v>0</v>
      </c>
      <c r="M21" s="117"/>
      <c r="N21" s="9">
        <f>IF(M16&gt;=10000000,M16,0)</f>
        <v>0</v>
      </c>
      <c r="O21" s="40">
        <f>IF(N21=0,0,N21-1955000)</f>
        <v>0</v>
      </c>
      <c r="P21" s="117"/>
      <c r="Q21" s="9">
        <f>IF(P16&gt;=10000000,P16,0)</f>
        <v>0</v>
      </c>
      <c r="R21" s="40">
        <f>IF(Q21=0,0,Q21-1955000)</f>
        <v>0</v>
      </c>
      <c r="S21" s="117"/>
      <c r="T21" s="9">
        <f>IF(S16&gt;=10000000,S16,0)</f>
        <v>0</v>
      </c>
      <c r="U21" s="40">
        <f>IF(T21=0,0,T21-1955000)</f>
        <v>0</v>
      </c>
      <c r="V21" s="116"/>
    </row>
    <row r="22" spans="2:22" x14ac:dyDescent="0.15">
      <c r="F22" s="111"/>
      <c r="G22" s="119"/>
      <c r="H22" s="119"/>
      <c r="I22" s="120">
        <f>SUM(I16:I21)</f>
        <v>0</v>
      </c>
      <c r="J22" s="119"/>
      <c r="K22" s="119"/>
      <c r="L22" s="120">
        <f>SUM(L16:L21)</f>
        <v>0</v>
      </c>
      <c r="M22" s="119"/>
      <c r="N22" s="119"/>
      <c r="O22" s="120">
        <f>SUM(O16:O21)</f>
        <v>0</v>
      </c>
      <c r="P22" s="119"/>
      <c r="Q22" s="119"/>
      <c r="R22" s="120">
        <f>SUM(R16:R21)</f>
        <v>0</v>
      </c>
      <c r="S22" s="119"/>
      <c r="T22" s="119"/>
      <c r="U22" s="120">
        <f>SUM(U16:U21)</f>
        <v>0</v>
      </c>
      <c r="V22" s="118"/>
    </row>
    <row r="23" spans="2:22" x14ac:dyDescent="0.15">
      <c r="H23" s="41"/>
      <c r="I23" s="12"/>
      <c r="K23" s="41"/>
      <c r="L23" s="47"/>
      <c r="M23" s="35"/>
      <c r="N23" s="48"/>
      <c r="O23" s="47"/>
      <c r="P23" s="35"/>
      <c r="Q23" s="48"/>
      <c r="R23" s="47"/>
      <c r="T23" s="48"/>
      <c r="U23" s="47"/>
    </row>
    <row r="24" spans="2:22" x14ac:dyDescent="0.15">
      <c r="F24" s="100"/>
      <c r="G24" s="102" t="s">
        <v>69</v>
      </c>
      <c r="H24" s="102"/>
      <c r="I24" s="102"/>
      <c r="J24" s="102"/>
      <c r="K24" s="102"/>
      <c r="L24" s="102"/>
      <c r="M24" s="102"/>
      <c r="N24" s="102"/>
      <c r="O24" s="102"/>
      <c r="P24" s="102"/>
      <c r="Q24" s="102"/>
      <c r="R24" s="102"/>
      <c r="S24" s="102"/>
      <c r="T24" s="102"/>
      <c r="U24" s="102"/>
      <c r="V24" s="103"/>
    </row>
    <row r="25" spans="2:22" x14ac:dyDescent="0.15">
      <c r="F25" s="101"/>
      <c r="G25" s="8">
        <f>IF(AND(国保計算!$C$18&gt;10000000,国保計算!$C$18&lt;=20000000,年金所得速算表!$G$6&lt;65),年金所得速算表!$G$8,0)</f>
        <v>0</v>
      </c>
      <c r="H25" s="9">
        <f>IF(G25&lt;=500000,0,0)</f>
        <v>0</v>
      </c>
      <c r="I25" s="40">
        <f>IF(H25=0,0,)</f>
        <v>0</v>
      </c>
      <c r="J25" s="8">
        <f>IF(AND(国保計算!$D$18&gt;10000000,国保計算!$D$18&lt;=20000000,年金所得速算表!$H$6&lt;65),年金所得速算表!$H$8,0)</f>
        <v>0</v>
      </c>
      <c r="K25" s="9">
        <f>IF(J25&lt;=500000,0,0)</f>
        <v>0</v>
      </c>
      <c r="L25" s="40">
        <f>IF(K25=0,0,)</f>
        <v>0</v>
      </c>
      <c r="M25" s="8">
        <f>IF(AND(国保計算!$E$18&gt;10000000,国保計算!$E$18&lt;=20000000,年金所得速算表!$I$6&lt;65),年金所得速算表!$I$8,0)</f>
        <v>0</v>
      </c>
      <c r="N25" s="9">
        <f>IF(M25&lt;=500000,0,0)</f>
        <v>0</v>
      </c>
      <c r="O25" s="40">
        <f>IF(N25=0,0,)</f>
        <v>0</v>
      </c>
      <c r="P25" s="8">
        <f>IF(AND(国保計算!$F$18&gt;10000000,国保計算!$F$18&lt;=20000000,年金所得速算表!$J$6&lt;65),年金所得速算表!$J$8,0)</f>
        <v>0</v>
      </c>
      <c r="Q25" s="9">
        <f>IF(P25&lt;=500000,0,0)</f>
        <v>0</v>
      </c>
      <c r="R25" s="40">
        <f>IF(Q25=0,0,)</f>
        <v>0</v>
      </c>
      <c r="S25" s="8">
        <f>IF(AND(国保計算!$G$18&gt;10000000,国保計算!$G$18&lt;=20000000,年金所得速算表!$K$6&lt;65),年金所得速算表!$K$8,0)</f>
        <v>0</v>
      </c>
      <c r="T25" s="9">
        <f>IF(S25&lt;=500000,0,0)</f>
        <v>0</v>
      </c>
      <c r="U25" s="40">
        <f>IF(T25=0,0,)</f>
        <v>0</v>
      </c>
      <c r="V25" s="104"/>
    </row>
    <row r="26" spans="2:22" x14ac:dyDescent="0.15">
      <c r="F26" s="101"/>
      <c r="G26" s="88"/>
      <c r="H26" s="9">
        <f>IF(AND(G25&gt;=500001,G25&lt;=1299999),G25,0)</f>
        <v>0</v>
      </c>
      <c r="I26" s="40">
        <f>IF(H26=0,0,H26-500000)</f>
        <v>0</v>
      </c>
      <c r="J26" s="88"/>
      <c r="K26" s="9">
        <f>IF(AND(J25&gt;=500001,J25&lt;=1299999),J25,0)</f>
        <v>0</v>
      </c>
      <c r="L26" s="40">
        <f>IF(K26=0,0,K26-500000)</f>
        <v>0</v>
      </c>
      <c r="M26" s="88"/>
      <c r="N26" s="9">
        <f>IF(AND(M25&gt;=500001,M25&lt;=1299999),M25,0)</f>
        <v>0</v>
      </c>
      <c r="O26" s="40">
        <f>IF(N26=0,0,N26-500000)</f>
        <v>0</v>
      </c>
      <c r="P26" s="88"/>
      <c r="Q26" s="9">
        <f>IF(AND(P25&gt;=500001,P25&lt;=1299999),P25,0)</f>
        <v>0</v>
      </c>
      <c r="R26" s="40">
        <f>IF(Q26=0,0,Q26-500000)</f>
        <v>0</v>
      </c>
      <c r="S26" s="88"/>
      <c r="T26" s="9">
        <f>IF(AND(S25&gt;=500001,S25&lt;=1299999),S25,0)</f>
        <v>0</v>
      </c>
      <c r="U26" s="40">
        <f>IF(T26=0,0,T26-500000)</f>
        <v>0</v>
      </c>
      <c r="V26" s="104"/>
    </row>
    <row r="27" spans="2:22" x14ac:dyDescent="0.15">
      <c r="F27" s="101"/>
      <c r="G27" s="88"/>
      <c r="H27" s="9">
        <f>IF(AND(G25&gt;=1300000,G25&lt;=4099999),G25,0)</f>
        <v>0</v>
      </c>
      <c r="I27" s="40">
        <f>IF(H27=0,0,ROUNDDOWN(H27*0.75,0)-175000)</f>
        <v>0</v>
      </c>
      <c r="J27" s="88"/>
      <c r="K27" s="9">
        <f>IF(AND(J25&gt;=1300000,J25&lt;=4099999),J25,0)</f>
        <v>0</v>
      </c>
      <c r="L27" s="40">
        <f>IF(K27=0,0,ROUNDDOWN(K27*0.75,0)-175000)</f>
        <v>0</v>
      </c>
      <c r="M27" s="88"/>
      <c r="N27" s="9">
        <f>IF(AND(M25&gt;=1300000,M25&lt;=4099999),M25,0)</f>
        <v>0</v>
      </c>
      <c r="O27" s="40">
        <f>IF(N27=0,0,ROUNDDOWN(N27*0.75,0)-175000)</f>
        <v>0</v>
      </c>
      <c r="P27" s="88"/>
      <c r="Q27" s="9">
        <f>IF(AND(P25&gt;=1300000,P25&lt;=4099999),P25,0)</f>
        <v>0</v>
      </c>
      <c r="R27" s="40">
        <f>IF(Q27=0,0,ROUNDDOWN(Q27*0.75,0)-175000)</f>
        <v>0</v>
      </c>
      <c r="S27" s="88"/>
      <c r="T27" s="9">
        <f>IF(AND(S25&gt;=1300000,S25&lt;=4099999),S25,0)</f>
        <v>0</v>
      </c>
      <c r="U27" s="40">
        <f>IF(T27=0,0,ROUNDDOWN(T27*0.75,0)-175000)</f>
        <v>0</v>
      </c>
      <c r="V27" s="104"/>
    </row>
    <row r="28" spans="2:22" x14ac:dyDescent="0.15">
      <c r="F28" s="136" t="s">
        <v>83</v>
      </c>
      <c r="G28" s="88"/>
      <c r="H28" s="9">
        <f>IF(AND(G25&gt;=4100000,G25&lt;=7699999),G25,0)</f>
        <v>0</v>
      </c>
      <c r="I28" s="40">
        <f>IF(H28=0,0,ROUNDDOWN(H28*0.85,0)-585000)</f>
        <v>0</v>
      </c>
      <c r="J28" s="88"/>
      <c r="K28" s="9">
        <f>IF(AND(J25&gt;=4100000,J25&lt;=7699999),J25,0)</f>
        <v>0</v>
      </c>
      <c r="L28" s="40">
        <f>IF(K28=0,0,ROUNDDOWN(K28*0.85,0)-585000)</f>
        <v>0</v>
      </c>
      <c r="M28" s="88"/>
      <c r="N28" s="9">
        <f>IF(AND(M25&gt;=4100000,M25&lt;=7699999),M25,0)</f>
        <v>0</v>
      </c>
      <c r="O28" s="40">
        <f>IF(N28=0,0,ROUNDDOWN(N28*0.85,0)-585000)</f>
        <v>0</v>
      </c>
      <c r="P28" s="88"/>
      <c r="Q28" s="9">
        <f>IF(AND(P25&gt;=4100000,P25&lt;=7699999),P25,0)</f>
        <v>0</v>
      </c>
      <c r="R28" s="40">
        <f>IF(Q28=0,0,ROUNDDOWN(Q28*0.85,0)-585000)</f>
        <v>0</v>
      </c>
      <c r="S28" s="88"/>
      <c r="T28" s="9">
        <f>IF(AND(S25&gt;=4100000,S25&lt;=7699999),S25,0)</f>
        <v>0</v>
      </c>
      <c r="U28" s="40">
        <f>IF(T28=0,0,ROUNDDOWN(T28*0.85,0)-585000)</f>
        <v>0</v>
      </c>
      <c r="V28" s="104"/>
    </row>
    <row r="29" spans="2:22" x14ac:dyDescent="0.15">
      <c r="F29" s="136" t="s">
        <v>84</v>
      </c>
      <c r="G29" s="88"/>
      <c r="H29" s="9">
        <f>IF(AND(G25&gt;=7700000,G25&lt;=9999999),G25,0)</f>
        <v>0</v>
      </c>
      <c r="I29" s="40">
        <f>IF(H29=0,0,ROUNDDOWN(H29*0.95,0)-1355000)</f>
        <v>0</v>
      </c>
      <c r="J29" s="88"/>
      <c r="K29" s="9">
        <f>IF(AND(J25&gt;=7700000,J25&lt;=9999999),J25,0)</f>
        <v>0</v>
      </c>
      <c r="L29" s="40">
        <f>IF(K29=0,0,ROUNDDOWN(K29*0.95,0)-1355000)</f>
        <v>0</v>
      </c>
      <c r="M29" s="88"/>
      <c r="N29" s="9">
        <f>IF(AND(M25&gt;=7700000,M25&lt;=9999999),M25,0)</f>
        <v>0</v>
      </c>
      <c r="O29" s="40">
        <f>IF(N29=0,0,ROUNDDOWN(N29*0.95,0)-1355000)</f>
        <v>0</v>
      </c>
      <c r="P29" s="88"/>
      <c r="Q29" s="9">
        <f>IF(AND(P25&gt;=7700000,P25&lt;=9999999),P25,0)</f>
        <v>0</v>
      </c>
      <c r="R29" s="40">
        <f>IF(Q29=0,0,ROUNDDOWN(Q29*0.95,0)-1355000)</f>
        <v>0</v>
      </c>
      <c r="S29" s="88"/>
      <c r="T29" s="9">
        <f>IF(AND(S25&gt;=7700000,S25&lt;=9999999),S25,0)</f>
        <v>0</v>
      </c>
      <c r="U29" s="40">
        <f>IF(T29=0,0,ROUNDDOWN(T29*0.95,0)-1355000)</f>
        <v>0</v>
      </c>
      <c r="V29" s="104"/>
    </row>
    <row r="30" spans="2:22" x14ac:dyDescent="0.15">
      <c r="F30" s="87" t="s">
        <v>81</v>
      </c>
      <c r="G30" s="88"/>
      <c r="H30" s="9">
        <f>IF(G25&gt;=10000000,G25,0)</f>
        <v>0</v>
      </c>
      <c r="I30" s="40">
        <f>IF(H30=0,0,H30-1855000)</f>
        <v>0</v>
      </c>
      <c r="J30" s="88"/>
      <c r="K30" s="9">
        <f>IF(J25&gt;=10000000,J25,0)</f>
        <v>0</v>
      </c>
      <c r="L30" s="40">
        <f>IF(K30=0,0,K30-1855000)</f>
        <v>0</v>
      </c>
      <c r="M30" s="88"/>
      <c r="N30" s="9">
        <f>IF(M25&gt;=10000000,M25,0)</f>
        <v>0</v>
      </c>
      <c r="O30" s="40">
        <f>IF(N30=0,0,N30-1855000)</f>
        <v>0</v>
      </c>
      <c r="P30" s="88"/>
      <c r="Q30" s="9">
        <f>IF(P25&gt;=10000000,P25,0)</f>
        <v>0</v>
      </c>
      <c r="R30" s="40">
        <f>IF(Q30=0,0,Q30-1855000)</f>
        <v>0</v>
      </c>
      <c r="S30" s="88"/>
      <c r="T30" s="9">
        <f>IF(S25&gt;=10000000,S25,0)</f>
        <v>0</v>
      </c>
      <c r="U30" s="40">
        <f>IF(T30=0,0,T30-1855000)</f>
        <v>0</v>
      </c>
      <c r="V30" s="104"/>
    </row>
    <row r="31" spans="2:22" x14ac:dyDescent="0.15">
      <c r="F31" s="87"/>
      <c r="G31" s="88"/>
      <c r="H31" s="88"/>
      <c r="I31" s="109">
        <f>SUM(I25:I30)</f>
        <v>0</v>
      </c>
      <c r="J31" s="88"/>
      <c r="K31" s="88"/>
      <c r="L31" s="109">
        <f>SUM(L25:L30)</f>
        <v>0</v>
      </c>
      <c r="M31" s="88"/>
      <c r="N31" s="88"/>
      <c r="O31" s="109">
        <f>SUM(O25:O30)</f>
        <v>0</v>
      </c>
      <c r="P31" s="88"/>
      <c r="Q31" s="88"/>
      <c r="R31" s="109">
        <f>SUM(R25:R30)</f>
        <v>0</v>
      </c>
      <c r="S31" s="88"/>
      <c r="T31" s="88"/>
      <c r="U31" s="109">
        <f>SUM(U25:U30)</f>
        <v>0</v>
      </c>
      <c r="V31" s="104"/>
    </row>
    <row r="32" spans="2:22" x14ac:dyDescent="0.15">
      <c r="F32" s="87"/>
      <c r="G32" s="88"/>
      <c r="H32" s="88"/>
      <c r="I32" s="110"/>
      <c r="J32" s="88"/>
      <c r="K32" s="88"/>
      <c r="L32" s="110"/>
      <c r="M32" s="88"/>
      <c r="N32" s="88"/>
      <c r="O32" s="110"/>
      <c r="P32" s="88"/>
      <c r="Q32" s="88"/>
      <c r="R32" s="110"/>
      <c r="S32" s="88"/>
      <c r="T32" s="88"/>
      <c r="U32" s="110"/>
      <c r="V32" s="104"/>
    </row>
    <row r="33" spans="6:22" x14ac:dyDescent="0.15">
      <c r="F33" s="87"/>
      <c r="G33" s="88"/>
      <c r="H33" s="88"/>
      <c r="I33" s="110"/>
      <c r="J33" s="88"/>
      <c r="K33" s="88"/>
      <c r="L33" s="110"/>
      <c r="M33" s="88"/>
      <c r="N33" s="88"/>
      <c r="O33" s="110"/>
      <c r="P33" s="88"/>
      <c r="Q33" s="88"/>
      <c r="R33" s="110"/>
      <c r="S33" s="88"/>
      <c r="T33" s="88"/>
      <c r="U33" s="110"/>
      <c r="V33" s="104"/>
    </row>
    <row r="34" spans="6:22" x14ac:dyDescent="0.15">
      <c r="F34" s="87"/>
      <c r="G34" s="109" t="s">
        <v>70</v>
      </c>
      <c r="H34" s="88"/>
      <c r="I34" s="110"/>
      <c r="J34" s="88"/>
      <c r="K34" s="88"/>
      <c r="L34" s="110"/>
      <c r="M34" s="88"/>
      <c r="N34" s="88"/>
      <c r="O34" s="110"/>
      <c r="P34" s="88"/>
      <c r="Q34" s="88"/>
      <c r="R34" s="110"/>
      <c r="S34" s="88"/>
      <c r="T34" s="88"/>
      <c r="U34" s="110"/>
      <c r="V34" s="104"/>
    </row>
    <row r="35" spans="6:22" x14ac:dyDescent="0.15">
      <c r="F35" s="87"/>
      <c r="G35" s="8">
        <f>IF(AND(国保計算!$C$18&gt;10000000,国保計算!$C$18&lt;=20000000,年金所得速算表!$G$6&gt;=65),年金所得速算表!$G$8,0)</f>
        <v>0</v>
      </c>
      <c r="H35" s="9">
        <f>IF(G35&lt;=1100000,0,0)</f>
        <v>0</v>
      </c>
      <c r="I35" s="40">
        <f>IF(H35=0,0,)</f>
        <v>0</v>
      </c>
      <c r="J35" s="8">
        <f>IF(AND(国保計算!$D$18&gt;10000000,国保計算!$D$18&lt;=20000000,年金所得速算表!$H$6&gt;=65),年金所得速算表!$H$8,0)</f>
        <v>0</v>
      </c>
      <c r="K35" s="9">
        <f>IF(J35&lt;=1100000,0,0)</f>
        <v>0</v>
      </c>
      <c r="L35" s="40">
        <f>IF(K35=0,0,)</f>
        <v>0</v>
      </c>
      <c r="M35" s="8">
        <f>IF(AND(国保計算!$E$18&gt;10000000,国保計算!$E$18&lt;=20000000,年金所得速算表!$I$6&gt;=65),年金所得速算表!$I$8,0)</f>
        <v>0</v>
      </c>
      <c r="N35" s="9">
        <f>IF(M35&lt;=1100000,0,0)</f>
        <v>0</v>
      </c>
      <c r="O35" s="40">
        <f>IF(N35=0,0,)</f>
        <v>0</v>
      </c>
      <c r="P35" s="8">
        <f>IF(AND(国保計算!$F$18&gt;10000000,国保計算!$F$18&lt;=20000000,年金所得速算表!$J$6&gt;=65),年金所得速算表!$J$8,0)</f>
        <v>0</v>
      </c>
      <c r="Q35" s="9">
        <f>IF(P35&lt;=1100000,0,0)</f>
        <v>0</v>
      </c>
      <c r="R35" s="40">
        <f>IF(Q35=0,0,)</f>
        <v>0</v>
      </c>
      <c r="S35" s="8">
        <f>IF(AND(国保計算!$G$18&gt;10000000,国保計算!$G$18&lt;=20000000,年金所得速算表!$K$6&gt;=65),年金所得速算表!$K$8,0)</f>
        <v>0</v>
      </c>
      <c r="T35" s="9">
        <f>IF(S35&lt;=1100000,0,0)</f>
        <v>0</v>
      </c>
      <c r="U35" s="40">
        <f>IF(T35=0,0,)</f>
        <v>0</v>
      </c>
      <c r="V35" s="104"/>
    </row>
    <row r="36" spans="6:22" x14ac:dyDescent="0.15">
      <c r="F36" s="87"/>
      <c r="G36" s="88"/>
      <c r="H36" s="9">
        <f>IF(AND(G35&gt;=1100001,G35&lt;=3299999),G35,0)</f>
        <v>0</v>
      </c>
      <c r="I36" s="40">
        <f>IF(H36=0,0,H36-1000000)</f>
        <v>0</v>
      </c>
      <c r="J36" s="88"/>
      <c r="K36" s="9">
        <f>IF(AND(J35&gt;=1100001,J35&lt;=3299999),J35,0)</f>
        <v>0</v>
      </c>
      <c r="L36" s="40">
        <f>IF(K36=0,0,K36-1000000)</f>
        <v>0</v>
      </c>
      <c r="M36" s="88"/>
      <c r="N36" s="9">
        <f>IF(AND(M35&gt;=1100001,M35&lt;=3299999),M35,0)</f>
        <v>0</v>
      </c>
      <c r="O36" s="40">
        <f>IF(N36=0,0,N36-1000000)</f>
        <v>0</v>
      </c>
      <c r="P36" s="88"/>
      <c r="Q36" s="9">
        <f>IF(AND(P35&gt;=1100001,P35&lt;=3299999),P35,0)</f>
        <v>0</v>
      </c>
      <c r="R36" s="40">
        <f>IF(Q36=0,0,Q36-1000000)</f>
        <v>0</v>
      </c>
      <c r="S36" s="88"/>
      <c r="T36" s="9">
        <f>IF(AND(S35&gt;=1100001,S35&lt;=3299999),S35,0)</f>
        <v>0</v>
      </c>
      <c r="U36" s="40">
        <f>IF(T36=0,0,T36-1000000)</f>
        <v>0</v>
      </c>
      <c r="V36" s="104"/>
    </row>
    <row r="37" spans="6:22" x14ac:dyDescent="0.15">
      <c r="F37" s="87"/>
      <c r="G37" s="110"/>
      <c r="H37" s="9">
        <f>IF(AND(G35&gt;=3300000,G35&lt;=4099999),G35,0)</f>
        <v>0</v>
      </c>
      <c r="I37" s="40">
        <f>IF(H37=0,0,ROUNDDOWN(H37*0.75,0)-175000)</f>
        <v>0</v>
      </c>
      <c r="J37" s="110"/>
      <c r="K37" s="9">
        <f>IF(AND(J35&gt;=3300000,J35&lt;=4099999),J35,0)</f>
        <v>0</v>
      </c>
      <c r="L37" s="40">
        <f>IF(K37=0,0,ROUNDDOWN(K37*0.75,0)-175000)</f>
        <v>0</v>
      </c>
      <c r="M37" s="110"/>
      <c r="N37" s="9">
        <f>IF(AND(M35&gt;=3300000,M35&lt;=4099999),M35,0)</f>
        <v>0</v>
      </c>
      <c r="O37" s="40">
        <f>IF(N37=0,0,ROUNDDOWN(N37*0.75,0)-175000)</f>
        <v>0</v>
      </c>
      <c r="P37" s="110"/>
      <c r="Q37" s="9">
        <f>IF(AND(P35&gt;=3300000,P35&lt;=4099999),P35,0)</f>
        <v>0</v>
      </c>
      <c r="R37" s="40">
        <f>IF(Q37=0,0,ROUNDDOWN(Q37*0.75,0)-175000)</f>
        <v>0</v>
      </c>
      <c r="S37" s="110"/>
      <c r="T37" s="9">
        <f>IF(AND(S35&gt;=3300000,S35&lt;=4099999),S35,0)</f>
        <v>0</v>
      </c>
      <c r="U37" s="40">
        <f>IF(T37=0,0,ROUNDDOWN(T37*0.75,0)-175000)</f>
        <v>0</v>
      </c>
      <c r="V37" s="104"/>
    </row>
    <row r="38" spans="6:22" x14ac:dyDescent="0.15">
      <c r="F38" s="87"/>
      <c r="G38" s="110"/>
      <c r="H38" s="9">
        <f>IF(AND(G35&gt;=4100000,G35&lt;=7699999),G35,0)</f>
        <v>0</v>
      </c>
      <c r="I38" s="40">
        <f>IF(H38=0,0,ROUNDDOWN(H38*0.85,0)-585000)</f>
        <v>0</v>
      </c>
      <c r="J38" s="110"/>
      <c r="K38" s="9">
        <f>IF(AND(J35&gt;=4100000,J35&lt;=7699999),J35,0)</f>
        <v>0</v>
      </c>
      <c r="L38" s="40">
        <f>IF(K38=0,0,ROUNDDOWN(K38*0.85,0)-585000)</f>
        <v>0</v>
      </c>
      <c r="M38" s="110"/>
      <c r="N38" s="9">
        <f>IF(AND(M35&gt;=4100000,M35&lt;=7699999),M35,0)</f>
        <v>0</v>
      </c>
      <c r="O38" s="40">
        <f>IF(N38=0,0,ROUNDDOWN(N38*0.85,0)-585000)</f>
        <v>0</v>
      </c>
      <c r="P38" s="110"/>
      <c r="Q38" s="9">
        <f>IF(AND(P35&gt;=4100000,P35&lt;=7699999),P35,0)</f>
        <v>0</v>
      </c>
      <c r="R38" s="40">
        <f>IF(Q38=0,0,ROUNDDOWN(Q38*0.85,0)-585000)</f>
        <v>0</v>
      </c>
      <c r="S38" s="110"/>
      <c r="T38" s="9">
        <f>IF(AND(S35&gt;=4100000,S35&lt;=7699999),S35,0)</f>
        <v>0</v>
      </c>
      <c r="U38" s="40">
        <f>IF(T38=0,0,ROUNDDOWN(T38*0.85,0)-585000)</f>
        <v>0</v>
      </c>
      <c r="V38" s="104"/>
    </row>
    <row r="39" spans="6:22" x14ac:dyDescent="0.15">
      <c r="F39" s="87"/>
      <c r="G39" s="110"/>
      <c r="H39" s="9">
        <f>IF(AND(G35&gt;=7700000,G35&lt;=9999999),G35,0)</f>
        <v>0</v>
      </c>
      <c r="I39" s="40">
        <f>IF(H39=0,0,ROUNDDOWN(H39*0.95,0)-1355000)</f>
        <v>0</v>
      </c>
      <c r="J39" s="110"/>
      <c r="K39" s="9">
        <f>IF(AND(J35&gt;=7700000,J35&lt;=9999999),J35,0)</f>
        <v>0</v>
      </c>
      <c r="L39" s="40">
        <f>IF(K39=0,0,ROUNDDOWN(K39*0.95,0)-1355000)</f>
        <v>0</v>
      </c>
      <c r="M39" s="110"/>
      <c r="N39" s="9">
        <f>IF(AND(M35&gt;=7700000,M35&lt;=9999999),M35,0)</f>
        <v>0</v>
      </c>
      <c r="O39" s="40">
        <f>IF(N39=0,0,ROUNDDOWN(N39*0.95,0)-1355000)</f>
        <v>0</v>
      </c>
      <c r="P39" s="110"/>
      <c r="Q39" s="9">
        <f>IF(AND(P35&gt;=7700000,P35&lt;=9999999),P35,0)</f>
        <v>0</v>
      </c>
      <c r="R39" s="40">
        <f>IF(Q39=0,0,ROUNDDOWN(Q39*0.95,0)-1355000)</f>
        <v>0</v>
      </c>
      <c r="S39" s="110"/>
      <c r="T39" s="9">
        <f>IF(AND(S35&gt;=7700000,S35&lt;=9999999),S35,0)</f>
        <v>0</v>
      </c>
      <c r="U39" s="40">
        <f>IF(T39=0,0,ROUNDDOWN(T39*0.95,0)-1355000)</f>
        <v>0</v>
      </c>
      <c r="V39" s="104"/>
    </row>
    <row r="40" spans="6:22" x14ac:dyDescent="0.15">
      <c r="F40" s="87"/>
      <c r="G40" s="110"/>
      <c r="H40" s="9">
        <f>IF(G35&gt;=10000000,G35,0)</f>
        <v>0</v>
      </c>
      <c r="I40" s="40">
        <f>IF(H40=0,0,H40-1855000)</f>
        <v>0</v>
      </c>
      <c r="J40" s="110"/>
      <c r="K40" s="9">
        <f>IF(J35&gt;=10000000,J35,0)</f>
        <v>0</v>
      </c>
      <c r="L40" s="40">
        <f>IF(K40=0,0,K40-1855000)</f>
        <v>0</v>
      </c>
      <c r="M40" s="110"/>
      <c r="N40" s="9">
        <f>IF(M35&gt;=10000000,M35,0)</f>
        <v>0</v>
      </c>
      <c r="O40" s="40">
        <f>IF(N40=0,0,N40-1855000)</f>
        <v>0</v>
      </c>
      <c r="P40" s="110"/>
      <c r="Q40" s="9">
        <f>IF(P35&gt;=10000000,P35,0)</f>
        <v>0</v>
      </c>
      <c r="R40" s="40">
        <f>IF(Q40=0,0,Q40-1855000)</f>
        <v>0</v>
      </c>
      <c r="S40" s="110"/>
      <c r="T40" s="9">
        <f>IF(S35&gt;=10000000,S35,0)</f>
        <v>0</v>
      </c>
      <c r="U40" s="40">
        <f>IF(T40=0,0,T40-1855000)</f>
        <v>0</v>
      </c>
      <c r="V40" s="104"/>
    </row>
    <row r="41" spans="6:22" x14ac:dyDescent="0.15">
      <c r="F41" s="106"/>
      <c r="G41" s="107"/>
      <c r="H41" s="107"/>
      <c r="I41" s="108">
        <f>SUM(I35:I40)</f>
        <v>0</v>
      </c>
      <c r="J41" s="107"/>
      <c r="K41" s="107"/>
      <c r="L41" s="108">
        <f>SUM(L35:L40)</f>
        <v>0</v>
      </c>
      <c r="M41" s="107"/>
      <c r="N41" s="107"/>
      <c r="O41" s="108">
        <f>SUM(O35:O40)</f>
        <v>0</v>
      </c>
      <c r="P41" s="107"/>
      <c r="Q41" s="107"/>
      <c r="R41" s="108">
        <f>SUM(R35:R40)</f>
        <v>0</v>
      </c>
      <c r="S41" s="107"/>
      <c r="T41" s="107"/>
      <c r="U41" s="108">
        <f>SUM(U35:U40)</f>
        <v>0</v>
      </c>
      <c r="V41" s="105"/>
    </row>
    <row r="43" spans="6:22" x14ac:dyDescent="0.15">
      <c r="F43" s="90"/>
      <c r="G43" s="91" t="s">
        <v>69</v>
      </c>
      <c r="H43" s="91"/>
      <c r="I43" s="91"/>
      <c r="J43" s="91"/>
      <c r="K43" s="91"/>
      <c r="L43" s="91"/>
      <c r="M43" s="91"/>
      <c r="N43" s="91"/>
      <c r="O43" s="91"/>
      <c r="P43" s="91"/>
      <c r="Q43" s="91"/>
      <c r="R43" s="91"/>
      <c r="S43" s="91"/>
      <c r="T43" s="91"/>
      <c r="U43" s="91"/>
      <c r="V43" s="92"/>
    </row>
    <row r="44" spans="6:22" x14ac:dyDescent="0.15">
      <c r="F44" s="84"/>
      <c r="G44" s="8">
        <f>IF(AND(国保計算!$C$18&gt;20000000,年金所得速算表!$G$6&lt;65),年金所得速算表!$G$8,0)</f>
        <v>0</v>
      </c>
      <c r="H44" s="9">
        <f>IF(G44&lt;=400000,0,0)</f>
        <v>0</v>
      </c>
      <c r="I44" s="40">
        <f>IF(H44=0,0,)</f>
        <v>0</v>
      </c>
      <c r="J44" s="8">
        <f>IF(AND(国保計算!$D$18&gt;20000000,年金所得速算表!$H$6&lt;65),年金所得速算表!$H$8,0)</f>
        <v>0</v>
      </c>
      <c r="K44" s="9">
        <f>IF(J44&lt;=400000,0,0)</f>
        <v>0</v>
      </c>
      <c r="L44" s="40">
        <f>IF(K44=0,0,)</f>
        <v>0</v>
      </c>
      <c r="M44" s="8">
        <f>IF(AND(国保計算!$E$18&gt;20000000,年金所得速算表!$I$6&lt;65),年金所得速算表!$I$8,0)</f>
        <v>0</v>
      </c>
      <c r="N44" s="9">
        <f>IF(M44&lt;=400000,0,0)</f>
        <v>0</v>
      </c>
      <c r="O44" s="40">
        <f>IF(N44=0,0,)</f>
        <v>0</v>
      </c>
      <c r="P44" s="8">
        <f>IF(AND(国保計算!$F$18&gt;20000000,年金所得速算表!$J$6&lt;65),年金所得速算表!$J$8,0)</f>
        <v>0</v>
      </c>
      <c r="Q44" s="9">
        <f>IF(P44&lt;=400000,0,0)</f>
        <v>0</v>
      </c>
      <c r="R44" s="40">
        <f>IF(Q44=0,0,)</f>
        <v>0</v>
      </c>
      <c r="S44" s="8">
        <f>IF(AND(国保計算!$G$18&gt;20000000,年金所得速算表!$K$6&lt;65),年金所得速算表!$K$8,0)</f>
        <v>0</v>
      </c>
      <c r="T44" s="9">
        <f>IF(S44&lt;=400000,0,0)</f>
        <v>0</v>
      </c>
      <c r="U44" s="40">
        <f>IF(T44=0,0,)</f>
        <v>0</v>
      </c>
      <c r="V44" s="93"/>
    </row>
    <row r="45" spans="6:22" x14ac:dyDescent="0.15">
      <c r="F45" s="84"/>
      <c r="G45" s="89"/>
      <c r="H45" s="9">
        <f>IF(AND(G44&gt;=400001,G44&lt;=1299999),G44,0)</f>
        <v>0</v>
      </c>
      <c r="I45" s="40">
        <f>IF(H45=0,0,H45-400000)</f>
        <v>0</v>
      </c>
      <c r="J45" s="89"/>
      <c r="K45" s="9">
        <f>IF(AND(J44&gt;=400001,J44&lt;=1299999),J44,0)</f>
        <v>0</v>
      </c>
      <c r="L45" s="40">
        <f>IF(K45=0,0,K45-400000)</f>
        <v>0</v>
      </c>
      <c r="M45" s="89"/>
      <c r="N45" s="9">
        <f>IF(AND(M44&gt;=400001,M44&lt;=1299999),M44,0)</f>
        <v>0</v>
      </c>
      <c r="O45" s="40">
        <f>IF(N45=0,0,N45-400000)</f>
        <v>0</v>
      </c>
      <c r="P45" s="89"/>
      <c r="Q45" s="9">
        <f>IF(AND(P44&gt;=400001,P44&lt;=1299999),P44,0)</f>
        <v>0</v>
      </c>
      <c r="R45" s="40">
        <f>IF(Q45=0,0,Q45-400000)</f>
        <v>0</v>
      </c>
      <c r="S45" s="89"/>
      <c r="T45" s="9">
        <f>IF(AND(S44&gt;=400001,S44&lt;=1299999),S44,0)</f>
        <v>0</v>
      </c>
      <c r="U45" s="40">
        <f>IF(T45=0,0,T45-400000)</f>
        <v>0</v>
      </c>
      <c r="V45" s="93"/>
    </row>
    <row r="46" spans="6:22" x14ac:dyDescent="0.15">
      <c r="F46" s="84"/>
      <c r="G46" s="89"/>
      <c r="H46" s="9">
        <f>IF(AND(G44&gt;=1300000,G44&lt;=4099999),G44,0)</f>
        <v>0</v>
      </c>
      <c r="I46" s="40">
        <f>IF(H46=0,0,ROUNDDOWN(H46*0.75,0)-75000)</f>
        <v>0</v>
      </c>
      <c r="J46" s="89"/>
      <c r="K46" s="9">
        <f>IF(AND(J44&gt;=1300000,J44&lt;=4099999),J44,0)</f>
        <v>0</v>
      </c>
      <c r="L46" s="40">
        <f>IF(K46=0,0,ROUNDDOWN(K46*0.75,0)-75000)</f>
        <v>0</v>
      </c>
      <c r="M46" s="89"/>
      <c r="N46" s="9">
        <f>IF(AND(M44&gt;=1300000,M44&lt;=4099999),M44,0)</f>
        <v>0</v>
      </c>
      <c r="O46" s="40">
        <f>IF(N46=0,0,ROUNDDOWN(N46*0.75,0)-75000)</f>
        <v>0</v>
      </c>
      <c r="P46" s="89"/>
      <c r="Q46" s="9">
        <f>IF(AND(P44&gt;=1300000,P44&lt;=4099999),P44,0)</f>
        <v>0</v>
      </c>
      <c r="R46" s="40">
        <f>IF(Q46=0,0,ROUNDDOWN(Q46*0.75,0)-75000)</f>
        <v>0</v>
      </c>
      <c r="S46" s="89"/>
      <c r="T46" s="9">
        <f>IF(AND(S44&gt;=1300000,S44&lt;=4099999),S44,0)</f>
        <v>0</v>
      </c>
      <c r="U46" s="40">
        <f>IF(T46=0,0,ROUNDDOWN(T46*0.75,0)-75000)</f>
        <v>0</v>
      </c>
      <c r="V46" s="93"/>
    </row>
    <row r="47" spans="6:22" x14ac:dyDescent="0.15">
      <c r="F47" s="137" t="s">
        <v>83</v>
      </c>
      <c r="G47" s="89"/>
      <c r="H47" s="9">
        <f>IF(AND(G44&gt;=4100000,G44&lt;=7699999),G44,0)</f>
        <v>0</v>
      </c>
      <c r="I47" s="40">
        <f>IF(H47=0,0,ROUNDDOWN(H47*0.85,0)-485000)</f>
        <v>0</v>
      </c>
      <c r="J47" s="89"/>
      <c r="K47" s="9">
        <f>IF(AND(J44&gt;=4100000,J44&lt;=7699999),J44,0)</f>
        <v>0</v>
      </c>
      <c r="L47" s="40">
        <f>IF(K47=0,0,ROUNDDOWN(K47*0.85,0)-485000)</f>
        <v>0</v>
      </c>
      <c r="M47" s="89"/>
      <c r="N47" s="9">
        <f>IF(AND(M44&gt;=4100000,M44&lt;=7699999),M44,0)</f>
        <v>0</v>
      </c>
      <c r="O47" s="40">
        <f>IF(N47=0,0,ROUNDDOWN(N47*0.85,0)-485000)</f>
        <v>0</v>
      </c>
      <c r="P47" s="89"/>
      <c r="Q47" s="9">
        <f>IF(AND(P44&gt;=4100000,P44&lt;=7699999),P44,0)</f>
        <v>0</v>
      </c>
      <c r="R47" s="40">
        <f>IF(Q47=0,0,ROUNDDOWN(Q47*0.85,0)-485000)</f>
        <v>0</v>
      </c>
      <c r="S47" s="89"/>
      <c r="T47" s="9">
        <f>IF(AND(S44&gt;=4100000,S44&lt;=7699999),S44,0)</f>
        <v>0</v>
      </c>
      <c r="U47" s="40">
        <f>IF(T47=0,0,ROUNDDOWN(T47*0.85,0)-485000)</f>
        <v>0</v>
      </c>
      <c r="V47" s="93"/>
    </row>
    <row r="48" spans="6:22" x14ac:dyDescent="0.15">
      <c r="F48" s="137" t="s">
        <v>84</v>
      </c>
      <c r="G48" s="89"/>
      <c r="H48" s="9">
        <f>IF(AND(G44&gt;=7700000,G44&lt;=9999999),G44,0)</f>
        <v>0</v>
      </c>
      <c r="I48" s="40">
        <f>IF(H48=0,0,ROUNDDOWN(H48*0.95,0)-1255000)</f>
        <v>0</v>
      </c>
      <c r="J48" s="89"/>
      <c r="K48" s="9">
        <f>IF(AND(J44&gt;=7700000,J44&lt;=9999999),J44,0)</f>
        <v>0</v>
      </c>
      <c r="L48" s="40">
        <f>IF(K48=0,0,ROUNDDOWN(K48*0.95,0)-1255000)</f>
        <v>0</v>
      </c>
      <c r="M48" s="89"/>
      <c r="N48" s="9">
        <f>IF(AND(M44&gt;=7700000,M44&lt;=9999999),M44,0)</f>
        <v>0</v>
      </c>
      <c r="O48" s="40">
        <f>IF(N48=0,0,ROUNDDOWN(N48*0.95,0)-1255000)</f>
        <v>0</v>
      </c>
      <c r="P48" s="89"/>
      <c r="Q48" s="9">
        <f>IF(AND(P44&gt;=7700000,P44&lt;=9999999),P44,0)</f>
        <v>0</v>
      </c>
      <c r="R48" s="40">
        <f>IF(Q48=0,0,ROUNDDOWN(Q48*0.95,0)-1255000)</f>
        <v>0</v>
      </c>
      <c r="S48" s="89"/>
      <c r="T48" s="9">
        <f>IF(AND(S44&gt;=7700000,S44&lt;=9999999),S44,0)</f>
        <v>0</v>
      </c>
      <c r="U48" s="40">
        <f>IF(T48=0,0,ROUNDDOWN(T48*0.95,0)-1255000)</f>
        <v>0</v>
      </c>
      <c r="V48" s="93"/>
    </row>
    <row r="49" spans="6:22" x14ac:dyDescent="0.15">
      <c r="F49" s="84" t="s">
        <v>82</v>
      </c>
      <c r="G49" s="89"/>
      <c r="H49" s="9">
        <f>IF(G44&gt;=10000000,G44,0)</f>
        <v>0</v>
      </c>
      <c r="I49" s="40">
        <f>IF(H49=0,0,H49-1755000)</f>
        <v>0</v>
      </c>
      <c r="J49" s="89"/>
      <c r="K49" s="9">
        <f>IF(J44&gt;=10000000,J44,0)</f>
        <v>0</v>
      </c>
      <c r="L49" s="40">
        <f>IF(K49=0,0,K49-1755000)</f>
        <v>0</v>
      </c>
      <c r="M49" s="89"/>
      <c r="N49" s="9">
        <f>IF(M44&gt;=10000000,M44,0)</f>
        <v>0</v>
      </c>
      <c r="O49" s="40">
        <f>IF(N49=0,0,N49-1755000)</f>
        <v>0</v>
      </c>
      <c r="P49" s="89"/>
      <c r="Q49" s="9">
        <f>IF(P44&gt;=10000000,P44,0)</f>
        <v>0</v>
      </c>
      <c r="R49" s="40">
        <f>IF(Q49=0,0,Q49-1755000)</f>
        <v>0</v>
      </c>
      <c r="S49" s="89"/>
      <c r="T49" s="9">
        <f>IF(S44&gt;=10000000,S44,0)</f>
        <v>0</v>
      </c>
      <c r="U49" s="40">
        <f>IF(T49=0,0,T49-1755000)</f>
        <v>0</v>
      </c>
      <c r="V49" s="93"/>
    </row>
    <row r="50" spans="6:22" x14ac:dyDescent="0.15">
      <c r="F50" s="84"/>
      <c r="G50" s="89"/>
      <c r="H50" s="89"/>
      <c r="I50" s="94">
        <f>SUM(I44:I49)</f>
        <v>0</v>
      </c>
      <c r="J50" s="89"/>
      <c r="K50" s="89"/>
      <c r="L50" s="94">
        <f>SUM(L44:L49)</f>
        <v>0</v>
      </c>
      <c r="M50" s="89"/>
      <c r="N50" s="89"/>
      <c r="O50" s="94">
        <f>SUM(O44:O49)</f>
        <v>0</v>
      </c>
      <c r="P50" s="89"/>
      <c r="Q50" s="89"/>
      <c r="R50" s="94">
        <f>SUM(R44:R49)</f>
        <v>0</v>
      </c>
      <c r="S50" s="89"/>
      <c r="T50" s="89"/>
      <c r="U50" s="94">
        <f>SUM(U44:U49)</f>
        <v>0</v>
      </c>
      <c r="V50" s="93"/>
    </row>
    <row r="51" spans="6:22" x14ac:dyDescent="0.15">
      <c r="F51" s="84"/>
      <c r="G51" s="89"/>
      <c r="H51" s="89"/>
      <c r="I51" s="95"/>
      <c r="J51" s="89"/>
      <c r="K51" s="89"/>
      <c r="L51" s="95"/>
      <c r="M51" s="89"/>
      <c r="N51" s="89"/>
      <c r="O51" s="95"/>
      <c r="P51" s="89"/>
      <c r="Q51" s="89"/>
      <c r="R51" s="95"/>
      <c r="S51" s="89"/>
      <c r="T51" s="89"/>
      <c r="U51" s="95"/>
      <c r="V51" s="93"/>
    </row>
    <row r="52" spans="6:22" x14ac:dyDescent="0.15">
      <c r="F52" s="84"/>
      <c r="G52" s="89"/>
      <c r="H52" s="89"/>
      <c r="I52" s="95"/>
      <c r="J52" s="89"/>
      <c r="K52" s="89"/>
      <c r="L52" s="95"/>
      <c r="M52" s="89"/>
      <c r="N52" s="89"/>
      <c r="O52" s="95"/>
      <c r="P52" s="89"/>
      <c r="Q52" s="89"/>
      <c r="R52" s="95"/>
      <c r="S52" s="89"/>
      <c r="T52" s="89"/>
      <c r="U52" s="95"/>
      <c r="V52" s="93"/>
    </row>
    <row r="53" spans="6:22" x14ac:dyDescent="0.15">
      <c r="F53" s="84"/>
      <c r="G53" s="94" t="s">
        <v>70</v>
      </c>
      <c r="H53" s="89"/>
      <c r="I53" s="95"/>
      <c r="J53" s="89"/>
      <c r="K53" s="89"/>
      <c r="L53" s="95"/>
      <c r="M53" s="89"/>
      <c r="N53" s="89"/>
      <c r="O53" s="95"/>
      <c r="P53" s="89"/>
      <c r="Q53" s="89"/>
      <c r="R53" s="95"/>
      <c r="S53" s="89"/>
      <c r="T53" s="89"/>
      <c r="U53" s="95"/>
      <c r="V53" s="93"/>
    </row>
    <row r="54" spans="6:22" x14ac:dyDescent="0.15">
      <c r="F54" s="84"/>
      <c r="G54" s="8">
        <f>IF(AND(国保計算!$C$18&gt;20000000,年金所得速算表!$G$6&gt;=65),年金所得速算表!$G$8,0)</f>
        <v>0</v>
      </c>
      <c r="H54" s="9">
        <f>IF(G54&lt;=900000,0,0)</f>
        <v>0</v>
      </c>
      <c r="I54" s="40">
        <f>IF(H54=0,0,)</f>
        <v>0</v>
      </c>
      <c r="J54" s="8">
        <f>IF(AND(国保計算!$D$18&gt;20000000,年金所得速算表!$H$6&gt;=65),年金所得速算表!$H$8,0)</f>
        <v>0</v>
      </c>
      <c r="K54" s="9">
        <f>IF(J54&lt;=900000,0,0)</f>
        <v>0</v>
      </c>
      <c r="L54" s="40">
        <f>IF(K54=0,0,)</f>
        <v>0</v>
      </c>
      <c r="M54" s="8">
        <f>IF(AND(国保計算!$E$18&gt;20000000,年金所得速算表!$I$6&gt;=65),年金所得速算表!$I$8,0)</f>
        <v>0</v>
      </c>
      <c r="N54" s="9">
        <f>IF(M54&lt;=900000,0,0)</f>
        <v>0</v>
      </c>
      <c r="O54" s="40">
        <f>IF(N54=0,0,)</f>
        <v>0</v>
      </c>
      <c r="P54" s="8">
        <f>IF(AND(国保計算!$F$18&gt;20000000,年金所得速算表!$J$6&gt;=65),年金所得速算表!$J$8,0)</f>
        <v>0</v>
      </c>
      <c r="Q54" s="9">
        <f>IF(P54&lt;=900000,0,0)</f>
        <v>0</v>
      </c>
      <c r="R54" s="40">
        <f>IF(Q54=0,0,)</f>
        <v>0</v>
      </c>
      <c r="S54" s="8">
        <f>IF(AND(国保計算!$G$18&gt;20000000,年金所得速算表!$K$6&gt;=65),年金所得速算表!$K$8,0)</f>
        <v>0</v>
      </c>
      <c r="T54" s="9">
        <f>IF(S54&lt;=900000,0,0)</f>
        <v>0</v>
      </c>
      <c r="U54" s="40">
        <f>IF(T54=0,0,)</f>
        <v>0</v>
      </c>
      <c r="V54" s="93"/>
    </row>
    <row r="55" spans="6:22" x14ac:dyDescent="0.15">
      <c r="F55" s="84"/>
      <c r="G55" s="89"/>
      <c r="H55" s="9">
        <f>IF(AND(G54&gt;=900001,G54&lt;=3299999),G54,0)</f>
        <v>0</v>
      </c>
      <c r="I55" s="40">
        <f>IF(H55=0,0,H55-900000)</f>
        <v>0</v>
      </c>
      <c r="J55" s="89"/>
      <c r="K55" s="9">
        <f>IF(AND(J54&gt;=900001,J54&lt;=3299999),J54,0)</f>
        <v>0</v>
      </c>
      <c r="L55" s="40">
        <f>IF(K55=0,0,K55-900000)</f>
        <v>0</v>
      </c>
      <c r="M55" s="89"/>
      <c r="N55" s="9">
        <f>IF(AND(M54&gt;=900001,M54&lt;=3299999),M54,0)</f>
        <v>0</v>
      </c>
      <c r="O55" s="40">
        <f>IF(N55=0,0,N55-900000)</f>
        <v>0</v>
      </c>
      <c r="P55" s="89"/>
      <c r="Q55" s="9">
        <f>IF(AND(P54&gt;=900001,P54&lt;=3299999),P54,0)</f>
        <v>0</v>
      </c>
      <c r="R55" s="40">
        <f>IF(Q55=0,0,Q55-900000)</f>
        <v>0</v>
      </c>
      <c r="S55" s="89"/>
      <c r="T55" s="9">
        <f>IF(AND(S54&gt;=900001,S54&lt;=3299999),S54,0)</f>
        <v>0</v>
      </c>
      <c r="U55" s="40">
        <f>IF(T55=0,0,T55-900000)</f>
        <v>0</v>
      </c>
      <c r="V55" s="93"/>
    </row>
    <row r="56" spans="6:22" x14ac:dyDescent="0.15">
      <c r="F56" s="84"/>
      <c r="G56" s="95"/>
      <c r="H56" s="9">
        <f>IF(AND(G54&gt;=3300000,G54&lt;=4099999),G54,0)</f>
        <v>0</v>
      </c>
      <c r="I56" s="40">
        <f>IF(H56=0,0,ROUNDDOWN(H56*0.75,0)-75000)</f>
        <v>0</v>
      </c>
      <c r="J56" s="95"/>
      <c r="K56" s="9">
        <f>IF(AND(J54&gt;=3300000,J54&lt;=4099999),J54,0)</f>
        <v>0</v>
      </c>
      <c r="L56" s="40">
        <f>IF(K56=0,0,ROUNDDOWN(K56*0.75,0)-75000)</f>
        <v>0</v>
      </c>
      <c r="M56" s="95"/>
      <c r="N56" s="9">
        <f>IF(AND(M54&gt;=3300000,M54&lt;=4099999),M54,0)</f>
        <v>0</v>
      </c>
      <c r="O56" s="40">
        <f>IF(N56=0,0,ROUNDDOWN(N56*0.75,0)-75000)</f>
        <v>0</v>
      </c>
      <c r="P56" s="95"/>
      <c r="Q56" s="9">
        <f>IF(AND(P54&gt;=3300000,P54&lt;=4099999),P54,0)</f>
        <v>0</v>
      </c>
      <c r="R56" s="40">
        <f>IF(Q56=0,0,ROUNDDOWN(Q56*0.75,0)-75000)</f>
        <v>0</v>
      </c>
      <c r="S56" s="95"/>
      <c r="T56" s="9">
        <f>IF(AND(S54&gt;=3300000,S54&lt;=4099999),S54,0)</f>
        <v>0</v>
      </c>
      <c r="U56" s="40">
        <f>IF(T56=0,0,ROUNDDOWN(T56*0.75,0)-75000)</f>
        <v>0</v>
      </c>
      <c r="V56" s="93"/>
    </row>
    <row r="57" spans="6:22" x14ac:dyDescent="0.15">
      <c r="F57" s="84"/>
      <c r="G57" s="95"/>
      <c r="H57" s="9">
        <f>IF(AND(G54&gt;=4100000,G54&lt;=7699999),G54,0)</f>
        <v>0</v>
      </c>
      <c r="I57" s="40">
        <f>IF(H57=0,0,ROUNDDOWN(H57*0.85,0)-485000)</f>
        <v>0</v>
      </c>
      <c r="J57" s="95"/>
      <c r="K57" s="9">
        <f>IF(AND(J54&gt;=4100000,J54&lt;=7699999),J54,0)</f>
        <v>0</v>
      </c>
      <c r="L57" s="40">
        <f>IF(K57=0,0,ROUNDDOWN(K57*0.85,0)-485000)</f>
        <v>0</v>
      </c>
      <c r="M57" s="95"/>
      <c r="N57" s="9">
        <f>IF(AND(M54&gt;=4100000,M54&lt;=7699999),M54,0)</f>
        <v>0</v>
      </c>
      <c r="O57" s="40">
        <f>IF(N57=0,0,ROUNDDOWN(N57*0.85,0)-485000)</f>
        <v>0</v>
      </c>
      <c r="P57" s="95"/>
      <c r="Q57" s="9">
        <f>IF(AND(P54&gt;=4100000,P54&lt;=7699999),P54,0)</f>
        <v>0</v>
      </c>
      <c r="R57" s="40">
        <f>IF(Q57=0,0,ROUNDDOWN(Q57*0.85,0)-485000)</f>
        <v>0</v>
      </c>
      <c r="S57" s="95"/>
      <c r="T57" s="9">
        <f>IF(AND(S54&gt;=4100000,S54&lt;=7699999),S54,0)</f>
        <v>0</v>
      </c>
      <c r="U57" s="40">
        <f>IF(T57=0,0,ROUNDDOWN(T57*0.85,0)-485000)</f>
        <v>0</v>
      </c>
      <c r="V57" s="93"/>
    </row>
    <row r="58" spans="6:22" x14ac:dyDescent="0.15">
      <c r="F58" s="84"/>
      <c r="G58" s="95"/>
      <c r="H58" s="9">
        <f>IF(AND(G54&gt;=7700000,G54&lt;=9999999),G54,0)</f>
        <v>0</v>
      </c>
      <c r="I58" s="40">
        <f>IF(H58=0,0,ROUNDDOWN(H58*0.95,0)-1255000)</f>
        <v>0</v>
      </c>
      <c r="J58" s="95"/>
      <c r="K58" s="9">
        <f>IF(AND(J54&gt;=7700000,J54&lt;=9999999),J54,0)</f>
        <v>0</v>
      </c>
      <c r="L58" s="40">
        <f>IF(K58=0,0,ROUNDDOWN(K58*0.95,0)-1255000)</f>
        <v>0</v>
      </c>
      <c r="M58" s="95"/>
      <c r="N58" s="9">
        <f>IF(AND(M54&gt;=7700000,M54&lt;=9999999),M54,0)</f>
        <v>0</v>
      </c>
      <c r="O58" s="40">
        <f>IF(N58=0,0,ROUNDDOWN(N58*0.95,0)-1255000)</f>
        <v>0</v>
      </c>
      <c r="P58" s="95"/>
      <c r="Q58" s="9">
        <f>IF(AND(P54&gt;=7700000,P54&lt;=9999999),P54,0)</f>
        <v>0</v>
      </c>
      <c r="R58" s="40">
        <f>IF(Q58=0,0,ROUNDDOWN(Q58*0.95,0)-1255000)</f>
        <v>0</v>
      </c>
      <c r="S58" s="95"/>
      <c r="T58" s="9">
        <f>IF(AND(S54&gt;=7700000,S54&lt;=9999999),S54,0)</f>
        <v>0</v>
      </c>
      <c r="U58" s="40">
        <f>IF(T58=0,0,ROUNDDOWN(T58*0.95,0)-1255000)</f>
        <v>0</v>
      </c>
      <c r="V58" s="93"/>
    </row>
    <row r="59" spans="6:22" x14ac:dyDescent="0.15">
      <c r="F59" s="84"/>
      <c r="G59" s="95"/>
      <c r="H59" s="9">
        <f>IF(G54&gt;=10000000,G54,0)</f>
        <v>0</v>
      </c>
      <c r="I59" s="40">
        <f>IF(H59=0,0,H59-1755000)</f>
        <v>0</v>
      </c>
      <c r="J59" s="95"/>
      <c r="K59" s="9">
        <f>IF(J54&gt;=10000000,J54,0)</f>
        <v>0</v>
      </c>
      <c r="L59" s="40">
        <f>IF(K59=0,0,K59-1755000)</f>
        <v>0</v>
      </c>
      <c r="M59" s="95"/>
      <c r="N59" s="9">
        <f>IF(M54&gt;=10000000,M54,0)</f>
        <v>0</v>
      </c>
      <c r="O59" s="40">
        <f>IF(N59=0,0,N59-1755000)</f>
        <v>0</v>
      </c>
      <c r="P59" s="95"/>
      <c r="Q59" s="9">
        <f>IF(P54&gt;=10000000,P54,0)</f>
        <v>0</v>
      </c>
      <c r="R59" s="40">
        <f>IF(Q59=0,0,Q59-1755000)</f>
        <v>0</v>
      </c>
      <c r="S59" s="95"/>
      <c r="T59" s="9">
        <f>IF(S54&gt;=10000000,S54,0)</f>
        <v>0</v>
      </c>
      <c r="U59" s="40">
        <f>IF(T59=0,0,T59-1755000)</f>
        <v>0</v>
      </c>
      <c r="V59" s="93"/>
    </row>
    <row r="60" spans="6:22" x14ac:dyDescent="0.15">
      <c r="F60" s="96"/>
      <c r="G60" s="97"/>
      <c r="H60" s="97"/>
      <c r="I60" s="98">
        <f>SUM(I54:I59)</f>
        <v>0</v>
      </c>
      <c r="J60" s="97"/>
      <c r="K60" s="97"/>
      <c r="L60" s="98">
        <f>SUM(L54:L59)</f>
        <v>0</v>
      </c>
      <c r="M60" s="97"/>
      <c r="N60" s="97"/>
      <c r="O60" s="98">
        <f>SUM(O54:O59)</f>
        <v>0</v>
      </c>
      <c r="P60" s="97"/>
      <c r="Q60" s="97"/>
      <c r="R60" s="98">
        <f>SUM(R54:R59)</f>
        <v>0</v>
      </c>
      <c r="S60" s="97"/>
      <c r="T60" s="97"/>
      <c r="U60" s="98">
        <f>SUM(U54:U59)</f>
        <v>0</v>
      </c>
      <c r="V60" s="99"/>
    </row>
  </sheetData>
  <mergeCells count="2">
    <mergeCell ref="B7:B10"/>
    <mergeCell ref="B16:B19"/>
  </mergeCells>
  <phoneticPr fontId="3"/>
  <pageMargins left="0.75" right="0.75" top="1" bottom="1" header="0.51200000000000001" footer="0.51200000000000001"/>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dimension ref="B2:G58"/>
  <sheetViews>
    <sheetView topLeftCell="C1" workbookViewId="0">
      <selection activeCell="G3" sqref="G3"/>
    </sheetView>
  </sheetViews>
  <sheetFormatPr defaultRowHeight="13.5" x14ac:dyDescent="0.15"/>
  <cols>
    <col min="2" max="2" width="33.875" customWidth="1"/>
    <col min="3" max="3" width="16.875" customWidth="1"/>
    <col min="4" max="4" width="3.5" customWidth="1"/>
    <col min="5" max="5" width="16.875" customWidth="1"/>
    <col min="7" max="7" width="26" customWidth="1"/>
  </cols>
  <sheetData>
    <row r="2" spans="2:7" ht="16.5" customHeight="1" x14ac:dyDescent="0.15">
      <c r="B2" s="43" t="s">
        <v>46</v>
      </c>
      <c r="G2" s="45" t="s">
        <v>48</v>
      </c>
    </row>
    <row r="3" spans="2:7" ht="19.5" customHeight="1" x14ac:dyDescent="0.15">
      <c r="B3" s="44" t="s">
        <v>47</v>
      </c>
      <c r="C3" s="6" t="str">
        <f>入力シート!D8</f>
        <v>　</v>
      </c>
      <c r="D3" s="6"/>
      <c r="E3" s="6">
        <f>入力シート!D6</f>
        <v>0</v>
      </c>
      <c r="F3" t="e">
        <f>IF(C3+E3=0,0,IF(OR(AND(C3&gt;74,E3=1),AND(C3&gt;64,E3=9)),1,IF(AND(C3&lt;&gt;0,E3&lt;&gt;0),0,1)))</f>
        <v>#VALUE!</v>
      </c>
      <c r="G3" t="e">
        <f>IF(AND(C3&gt;74,E3=1),"☞ 75歳以上の人が加入者になってます!!",IF(AND(C3&gt;64,E3=9),"☞ 年齢または加入者区分が誤ってます!!",IF(F3=0,"",IF(C3=0,"☞ 年齢が入力されていません!!","☞ 加入者欄が入力されていません!!"))))</f>
        <v>#VALUE!</v>
      </c>
    </row>
    <row r="4" spans="2:7" ht="19.5" customHeight="1" x14ac:dyDescent="0.15">
      <c r="B4" s="44"/>
      <c r="C4" s="6" t="str">
        <f>入力シート!E8</f>
        <v>　</v>
      </c>
      <c r="D4" s="6"/>
      <c r="E4" s="6">
        <f>入力シート!E6</f>
        <v>0</v>
      </c>
      <c r="F4" t="e">
        <f>IF(C4+E4=0,0,IF(OR(AND(C4&gt;74,E4=1),AND(C4&gt;64,E4=9)),1,IF(AND(C4&lt;&gt;0,E4&lt;&gt;0),0,1)))</f>
        <v>#VALUE!</v>
      </c>
      <c r="G4" t="e">
        <f>IF(AND(C4&gt;74,E4=1),"☞ 75歳以上の人が加入者になってます!!",IF(AND(C4&gt;64,E4=9),"☞ 年齢または加入者区分が誤ってます!!",IF(F4=0,"",IF(C4=0,"☞ 年齢が入力されていません!!","☞ 加入者欄が入力されていません!!"))))</f>
        <v>#VALUE!</v>
      </c>
    </row>
    <row r="5" spans="2:7" ht="19.5" customHeight="1" x14ac:dyDescent="0.15">
      <c r="B5" s="44"/>
      <c r="C5" s="6" t="str">
        <f>入力シート!F8</f>
        <v>　</v>
      </c>
      <c r="D5" s="6"/>
      <c r="E5" s="6">
        <f>入力シート!F6</f>
        <v>0</v>
      </c>
      <c r="F5" t="e">
        <f>IF(C5+E5=0,0,IF(OR(AND(C5&gt;74,E5=1),AND(C5&gt;64,E5=9)),1,IF(AND(C5&lt;&gt;0,E5&lt;&gt;0),0,1)))</f>
        <v>#VALUE!</v>
      </c>
      <c r="G5" t="e">
        <f>IF(AND(C5&gt;74,E5=1),"☞ 75歳以上の人が加入者になってます!!",IF(AND(C5&gt;64,E5=9),"☞ 年齢または加入者区分が誤ってます!!",IF(F5=0,"",IF(C5=0,"☞ 年齢が入力されていません!!","☞ 加入者欄が入力されていません!!"))))</f>
        <v>#VALUE!</v>
      </c>
    </row>
    <row r="6" spans="2:7" ht="19.5" customHeight="1" x14ac:dyDescent="0.15">
      <c r="B6" s="44"/>
      <c r="C6" s="6" t="str">
        <f>入力シート!G8</f>
        <v>　</v>
      </c>
      <c r="D6" s="6"/>
      <c r="E6" s="6">
        <f>入力シート!G6</f>
        <v>0</v>
      </c>
      <c r="F6" t="e">
        <f>IF(C6+E6=0,0,IF(OR(AND(C6&gt;74,E6=1),AND(C6&gt;64,E6=9)),1,IF(AND(C6&lt;&gt;0,E6&lt;&gt;0),0,1)))</f>
        <v>#VALUE!</v>
      </c>
      <c r="G6" t="e">
        <f>IF(AND(C6&gt;74,E6=1),"☞ 75歳以上の人が加入者になってます!!",IF(AND(C6&gt;64,E6=9),"☞ 年齢または加入者区分が誤ってます!!",IF(F6=0,"",IF(C6=0,"☞ 年齢が入力されていません!!","☞ 加入者欄が入力されていません!!"))))</f>
        <v>#VALUE!</v>
      </c>
    </row>
    <row r="7" spans="2:7" ht="19.5" customHeight="1" x14ac:dyDescent="0.15">
      <c r="B7" s="44"/>
      <c r="C7" s="6" t="str">
        <f>入力シート!H8</f>
        <v>　</v>
      </c>
      <c r="D7" s="6"/>
      <c r="E7" s="6">
        <f>入力シート!H6</f>
        <v>0</v>
      </c>
      <c r="F7" t="e">
        <f>IF(C7+E7=0,0,IF(OR(AND(C7&gt;74,E7=1),AND(C7&gt;64,E7=9)),1,IF(AND(C7&lt;&gt;0,E7&lt;&gt;0),0,1)))</f>
        <v>#VALUE!</v>
      </c>
      <c r="G7" t="e">
        <f>IF(AND(C7&gt;74,E7=1),"☞ 75歳以上の人が加入者になってます!!",IF(AND(C7&gt;64,E7=9),"☞ 年齢または加入者区分が誤ってます!!",IF(F7=0,"",IF(C7=0,"☞ 年齢が入力されていません!!","☞ 加入者欄が入力されていません!!"))))</f>
        <v>#VALUE!</v>
      </c>
    </row>
    <row r="8" spans="2:7" ht="19.5" customHeight="1" x14ac:dyDescent="0.15">
      <c r="B8" s="44"/>
      <c r="C8" s="6"/>
      <c r="D8" s="6"/>
      <c r="E8" s="6"/>
    </row>
    <row r="9" spans="2:7" ht="19.5" customHeight="1" x14ac:dyDescent="0.15">
      <c r="B9" s="44"/>
      <c r="C9" s="6"/>
      <c r="D9" s="6"/>
      <c r="E9" s="6"/>
    </row>
    <row r="10" spans="2:7" ht="19.5" customHeight="1" x14ac:dyDescent="0.15">
      <c r="B10" s="44"/>
      <c r="C10" s="6"/>
      <c r="D10" s="6"/>
      <c r="E10" s="6"/>
    </row>
    <row r="11" spans="2:7" ht="19.5" customHeight="1" x14ac:dyDescent="0.15">
      <c r="B11" s="44"/>
      <c r="C11" s="6"/>
      <c r="D11" s="6"/>
      <c r="E11" s="6"/>
    </row>
    <row r="12" spans="2:7" ht="19.5" customHeight="1" x14ac:dyDescent="0.15">
      <c r="B12" s="44"/>
      <c r="C12" s="6"/>
      <c r="D12" s="6"/>
      <c r="E12" s="6"/>
    </row>
    <row r="13" spans="2:7" ht="19.5" customHeight="1" x14ac:dyDescent="0.15">
      <c r="B13" s="44"/>
      <c r="C13" s="6"/>
      <c r="D13" s="6"/>
      <c r="E13" s="6"/>
    </row>
    <row r="14" spans="2:7" ht="19.5" customHeight="1" x14ac:dyDescent="0.15">
      <c r="B14" s="44"/>
      <c r="C14" s="6"/>
      <c r="D14" s="6"/>
      <c r="E14" s="6"/>
    </row>
    <row r="15" spans="2:7" ht="19.5" customHeight="1" x14ac:dyDescent="0.15">
      <c r="B15" s="44"/>
      <c r="C15" s="6"/>
      <c r="D15" s="6"/>
      <c r="E15" s="6"/>
    </row>
    <row r="16" spans="2:7" ht="19.5" customHeight="1" x14ac:dyDescent="0.15">
      <c r="B16" s="44"/>
      <c r="C16" s="6"/>
      <c r="D16" s="6"/>
      <c r="E16" s="6"/>
    </row>
    <row r="17" spans="2:6" ht="19.5" customHeight="1" x14ac:dyDescent="0.15">
      <c r="B17" s="44"/>
      <c r="C17" s="6"/>
      <c r="D17" s="6"/>
      <c r="E17" s="6"/>
    </row>
    <row r="18" spans="2:6" ht="19.5" customHeight="1" x14ac:dyDescent="0.15">
      <c r="B18" s="44"/>
      <c r="C18" s="6"/>
      <c r="D18" s="6"/>
      <c r="E18" s="6"/>
    </row>
    <row r="19" spans="2:6" ht="19.5" customHeight="1" x14ac:dyDescent="0.15">
      <c r="B19" s="44"/>
      <c r="C19" s="6"/>
      <c r="D19" s="6"/>
      <c r="E19" s="6"/>
    </row>
    <row r="20" spans="2:6" ht="19.5" customHeight="1" x14ac:dyDescent="0.15">
      <c r="B20" s="44"/>
      <c r="C20" s="6"/>
      <c r="D20" s="6"/>
      <c r="E20" s="6"/>
    </row>
    <row r="21" spans="2:6" ht="19.5" customHeight="1" x14ac:dyDescent="0.15">
      <c r="B21" s="44"/>
      <c r="C21" s="6"/>
      <c r="D21" s="6"/>
      <c r="E21" s="6"/>
    </row>
    <row r="22" spans="2:6" ht="19.5" customHeight="1" x14ac:dyDescent="0.15">
      <c r="B22" s="44"/>
      <c r="C22" s="6"/>
      <c r="D22" s="6"/>
      <c r="E22" s="6"/>
      <c r="F22" t="e">
        <f>SUM(F3:F21)</f>
        <v>#VALUE!</v>
      </c>
    </row>
    <row r="23" spans="2:6" ht="19.5" customHeight="1" x14ac:dyDescent="0.15">
      <c r="B23" s="44"/>
      <c r="C23" s="6"/>
      <c r="D23" s="6"/>
      <c r="E23" s="6"/>
    </row>
    <row r="24" spans="2:6" ht="19.5" customHeight="1" x14ac:dyDescent="0.15">
      <c r="B24" s="44"/>
      <c r="C24" s="6"/>
      <c r="D24" s="6"/>
      <c r="E24" s="6"/>
    </row>
    <row r="25" spans="2:6" ht="19.5" customHeight="1" x14ac:dyDescent="0.15">
      <c r="B25" s="44"/>
      <c r="C25" s="6"/>
      <c r="D25" s="6"/>
      <c r="E25" s="6"/>
    </row>
    <row r="26" spans="2:6" ht="19.5" customHeight="1" x14ac:dyDescent="0.15">
      <c r="B26" s="44"/>
      <c r="C26" s="6"/>
      <c r="D26" s="6"/>
      <c r="E26" s="6"/>
    </row>
    <row r="27" spans="2:6" ht="19.5" customHeight="1" x14ac:dyDescent="0.15">
      <c r="B27" s="44"/>
      <c r="C27" s="6"/>
      <c r="D27" s="6"/>
      <c r="E27" s="6"/>
    </row>
    <row r="28" spans="2:6" ht="19.5" customHeight="1" x14ac:dyDescent="0.15">
      <c r="B28" s="44"/>
      <c r="C28" s="6"/>
      <c r="D28" s="6"/>
      <c r="E28" s="6"/>
    </row>
    <row r="29" spans="2:6" ht="19.5" customHeight="1" x14ac:dyDescent="0.15">
      <c r="B29" s="44"/>
      <c r="C29" s="6"/>
      <c r="D29" s="6"/>
      <c r="E29" s="6"/>
    </row>
    <row r="30" spans="2:6" ht="19.5" customHeight="1" x14ac:dyDescent="0.15">
      <c r="B30" s="44"/>
      <c r="C30" s="6"/>
      <c r="D30" s="6"/>
      <c r="E30" s="6"/>
    </row>
    <row r="31" spans="2:6" ht="19.5" customHeight="1" x14ac:dyDescent="0.15">
      <c r="B31" s="44"/>
      <c r="C31" s="6"/>
      <c r="D31" s="6"/>
      <c r="E31" s="6"/>
    </row>
    <row r="32" spans="2:6" ht="19.5" customHeight="1" x14ac:dyDescent="0.15">
      <c r="B32" s="44"/>
      <c r="C32" s="6"/>
      <c r="D32" s="6"/>
      <c r="E32" s="6"/>
    </row>
    <row r="33" spans="2:5" ht="19.5" customHeight="1" x14ac:dyDescent="0.15">
      <c r="B33" s="44"/>
      <c r="C33" s="6"/>
      <c r="D33" s="6"/>
      <c r="E33" s="6"/>
    </row>
    <row r="34" spans="2:5" ht="19.5" customHeight="1" x14ac:dyDescent="0.15">
      <c r="B34" s="44"/>
      <c r="C34" s="6"/>
      <c r="D34" s="6"/>
      <c r="E34" s="6"/>
    </row>
    <row r="35" spans="2:5" ht="19.5" customHeight="1" x14ac:dyDescent="0.15">
      <c r="B35" s="44"/>
      <c r="C35" s="6"/>
      <c r="D35" s="6"/>
      <c r="E35" s="6"/>
    </row>
    <row r="36" spans="2:5" ht="19.5" customHeight="1" x14ac:dyDescent="0.15">
      <c r="B36" s="44"/>
      <c r="C36" s="6"/>
      <c r="D36" s="6"/>
      <c r="E36" s="6"/>
    </row>
    <row r="37" spans="2:5" ht="19.5" customHeight="1" x14ac:dyDescent="0.15">
      <c r="B37" s="44"/>
      <c r="C37" s="6"/>
      <c r="D37" s="6"/>
      <c r="E37" s="6"/>
    </row>
    <row r="38" spans="2:5" ht="19.5" customHeight="1" x14ac:dyDescent="0.15">
      <c r="B38" s="44"/>
      <c r="C38" s="6"/>
      <c r="D38" s="6"/>
      <c r="E38" s="6"/>
    </row>
    <row r="39" spans="2:5" ht="19.5" customHeight="1" x14ac:dyDescent="0.15">
      <c r="B39" s="44"/>
      <c r="C39" s="6"/>
      <c r="D39" s="6"/>
      <c r="E39" s="6"/>
    </row>
    <row r="40" spans="2:5" ht="19.5" customHeight="1" x14ac:dyDescent="0.15">
      <c r="B40" s="44"/>
      <c r="C40" s="6"/>
      <c r="D40" s="6"/>
      <c r="E40" s="6"/>
    </row>
    <row r="41" spans="2:5" ht="19.5" customHeight="1" x14ac:dyDescent="0.15">
      <c r="B41" s="44"/>
      <c r="C41" s="6"/>
      <c r="D41" s="6"/>
      <c r="E41" s="6"/>
    </row>
    <row r="42" spans="2:5" ht="19.5" customHeight="1" x14ac:dyDescent="0.15">
      <c r="B42" s="44"/>
      <c r="C42" s="6"/>
      <c r="D42" s="6"/>
      <c r="E42" s="6"/>
    </row>
    <row r="43" spans="2:5" ht="19.5" customHeight="1" x14ac:dyDescent="0.15">
      <c r="B43" s="44"/>
      <c r="C43" s="6"/>
      <c r="D43" s="6"/>
      <c r="E43" s="6"/>
    </row>
    <row r="44" spans="2:5" ht="19.5" customHeight="1" x14ac:dyDescent="0.15">
      <c r="B44" s="44"/>
      <c r="C44" s="6"/>
      <c r="D44" s="6"/>
      <c r="E44" s="6"/>
    </row>
    <row r="45" spans="2:5" ht="19.5" customHeight="1" x14ac:dyDescent="0.15">
      <c r="B45" s="44"/>
      <c r="C45" s="6"/>
      <c r="D45" s="6"/>
      <c r="E45" s="6"/>
    </row>
    <row r="46" spans="2:5" ht="19.5" customHeight="1" x14ac:dyDescent="0.15">
      <c r="B46" s="44"/>
      <c r="C46" s="6"/>
      <c r="D46" s="6"/>
      <c r="E46" s="6"/>
    </row>
    <row r="47" spans="2:5" ht="19.5" customHeight="1" x14ac:dyDescent="0.15">
      <c r="B47" s="44"/>
      <c r="C47" s="6"/>
      <c r="D47" s="6"/>
      <c r="E47" s="6"/>
    </row>
    <row r="48" spans="2:5" ht="19.5" customHeight="1" x14ac:dyDescent="0.15">
      <c r="B48" s="44"/>
      <c r="C48" s="6"/>
      <c r="D48" s="6"/>
      <c r="E48" s="6"/>
    </row>
    <row r="49" spans="2:5" ht="19.5" customHeight="1" x14ac:dyDescent="0.15">
      <c r="B49" s="44"/>
      <c r="C49" s="6"/>
      <c r="D49" s="6"/>
      <c r="E49" s="6"/>
    </row>
    <row r="50" spans="2:5" ht="19.5" customHeight="1" x14ac:dyDescent="0.15">
      <c r="B50" s="44"/>
      <c r="C50" s="6"/>
      <c r="D50" s="6"/>
      <c r="E50" s="6"/>
    </row>
    <row r="51" spans="2:5" ht="19.5" customHeight="1" x14ac:dyDescent="0.15">
      <c r="B51" s="44"/>
      <c r="C51" s="6"/>
      <c r="D51" s="6"/>
      <c r="E51" s="6"/>
    </row>
    <row r="52" spans="2:5" ht="19.5" customHeight="1" x14ac:dyDescent="0.15">
      <c r="B52" s="44"/>
      <c r="C52" s="6"/>
      <c r="D52" s="6"/>
      <c r="E52" s="6"/>
    </row>
    <row r="53" spans="2:5" ht="19.5" customHeight="1" x14ac:dyDescent="0.15">
      <c r="B53" s="44"/>
      <c r="C53" s="6"/>
      <c r="D53" s="6"/>
      <c r="E53" s="6"/>
    </row>
    <row r="54" spans="2:5" ht="19.5" customHeight="1" x14ac:dyDescent="0.15">
      <c r="B54" s="44"/>
      <c r="C54" s="6"/>
      <c r="D54" s="6"/>
      <c r="E54" s="6"/>
    </row>
    <row r="55" spans="2:5" ht="19.5" customHeight="1" x14ac:dyDescent="0.15">
      <c r="B55" s="44"/>
      <c r="C55" s="6"/>
      <c r="D55" s="6"/>
      <c r="E55" s="6"/>
    </row>
    <row r="56" spans="2:5" ht="19.5" customHeight="1" x14ac:dyDescent="0.15">
      <c r="B56" s="44"/>
      <c r="C56" s="6"/>
      <c r="D56" s="6"/>
      <c r="E56" s="6"/>
    </row>
    <row r="57" spans="2:5" ht="19.5" customHeight="1" x14ac:dyDescent="0.15">
      <c r="B57" s="44"/>
      <c r="C57" s="6"/>
      <c r="D57" s="6"/>
      <c r="E57" s="6"/>
    </row>
    <row r="58" spans="2:5" ht="19.5" customHeight="1" x14ac:dyDescent="0.15">
      <c r="B58" s="44"/>
      <c r="C58" s="6"/>
      <c r="D58" s="6"/>
      <c r="E58" s="6"/>
    </row>
  </sheetData>
  <phoneticPr fontId="3"/>
  <pageMargins left="0.75" right="0.75" top="1" bottom="1" header="0.51200000000000001" footer="0.51200000000000001"/>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3:K10"/>
  <sheetViews>
    <sheetView workbookViewId="0">
      <selection activeCell="I14" sqref="I14"/>
    </sheetView>
  </sheetViews>
  <sheetFormatPr defaultRowHeight="13.5" x14ac:dyDescent="0.15"/>
  <cols>
    <col min="2" max="2" width="14.5" bestFit="1" customWidth="1"/>
    <col min="4" max="4" width="16.125" customWidth="1"/>
    <col min="7" max="11" width="10.625" customWidth="1"/>
  </cols>
  <sheetData>
    <row r="3" spans="2:11" ht="18.75" x14ac:dyDescent="0.2">
      <c r="B3" s="5" t="s">
        <v>12</v>
      </c>
    </row>
    <row r="6" spans="2:11" ht="18.75" x14ac:dyDescent="0.2">
      <c r="F6" s="4" t="s">
        <v>13</v>
      </c>
      <c r="G6" s="16" t="str">
        <f>入力シート!D8</f>
        <v>　</v>
      </c>
      <c r="H6" s="16" t="str">
        <f>入力シート!E8</f>
        <v>　</v>
      </c>
      <c r="I6" s="16" t="str">
        <f>入力シート!F8</f>
        <v>　</v>
      </c>
      <c r="J6" s="16" t="str">
        <f>入力シート!G8</f>
        <v>　</v>
      </c>
      <c r="K6" s="16" t="str">
        <f>入力シート!H8</f>
        <v>　</v>
      </c>
    </row>
    <row r="7" spans="2:11" ht="19.5" customHeight="1" x14ac:dyDescent="0.15">
      <c r="B7" s="126" t="s">
        <v>13</v>
      </c>
      <c r="C7" s="124"/>
      <c r="D7" s="124"/>
      <c r="F7" s="10"/>
      <c r="G7" s="4" t="s">
        <v>3</v>
      </c>
      <c r="H7" s="4" t="s">
        <v>4</v>
      </c>
      <c r="I7" s="4" t="s">
        <v>5</v>
      </c>
      <c r="J7" s="4" t="s">
        <v>6</v>
      </c>
      <c r="K7" s="4" t="s">
        <v>7</v>
      </c>
    </row>
    <row r="8" spans="2:11" ht="19.5" customHeight="1" x14ac:dyDescent="0.2">
      <c r="B8" s="127">
        <v>66</v>
      </c>
      <c r="C8" s="124"/>
      <c r="D8" s="124"/>
      <c r="F8" s="4" t="s">
        <v>10</v>
      </c>
      <c r="G8" s="14">
        <f>入力シート!D13</f>
        <v>0</v>
      </c>
      <c r="H8" s="14">
        <f>入力シート!E13</f>
        <v>0</v>
      </c>
      <c r="I8" s="14">
        <f>入力シート!F13</f>
        <v>0</v>
      </c>
      <c r="J8" s="14">
        <f>入力シート!G13</f>
        <v>0</v>
      </c>
      <c r="K8" s="14">
        <f>入力シート!H13</f>
        <v>0</v>
      </c>
    </row>
    <row r="9" spans="2:11" ht="19.5" customHeight="1" x14ac:dyDescent="0.15">
      <c r="B9" s="126" t="s">
        <v>0</v>
      </c>
      <c r="C9" s="124"/>
      <c r="D9" s="126" t="s">
        <v>1</v>
      </c>
      <c r="F9" s="4" t="s">
        <v>11</v>
      </c>
      <c r="G9" s="14">
        <f>年金計算ｼｰﾄ!H3</f>
        <v>0</v>
      </c>
      <c r="H9" s="14">
        <f>年金計算ｼｰﾄ!K3</f>
        <v>0</v>
      </c>
      <c r="I9" s="14">
        <f>年金計算ｼｰﾄ!N3</f>
        <v>0</v>
      </c>
      <c r="J9" s="14">
        <f>年金計算ｼｰﾄ!Q3</f>
        <v>0</v>
      </c>
      <c r="K9" s="14">
        <f>年金計算ｼｰﾄ!T3</f>
        <v>0</v>
      </c>
    </row>
    <row r="10" spans="2:11" ht="19.5" thickBot="1" x14ac:dyDescent="0.25">
      <c r="B10" s="128">
        <v>1422551</v>
      </c>
      <c r="C10" s="124"/>
      <c r="D10" s="129">
        <f>年金計算ｼｰﾄ!D12+年金計算ｼｰﾄ!D21</f>
        <v>322551</v>
      </c>
    </row>
  </sheetData>
  <phoneticPr fontId="3"/>
  <pageMargins left="0.75" right="0.75" top="1" bottom="1" header="0.51200000000000001" footer="0.51200000000000001"/>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H113"/>
  <sheetViews>
    <sheetView showGridLines="0" zoomScaleNormal="100" zoomScaleSheetLayoutView="93" workbookViewId="0">
      <selection activeCell="B113" sqref="B113"/>
    </sheetView>
  </sheetViews>
  <sheetFormatPr defaultRowHeight="13.5" x14ac:dyDescent="0.15"/>
  <cols>
    <col min="1" max="1" width="6.375" customWidth="1"/>
    <col min="7" max="7" width="2.875" customWidth="1"/>
    <col min="15" max="15" width="7.375" customWidth="1"/>
    <col min="16" max="16" width="5.875" customWidth="1"/>
  </cols>
  <sheetData>
    <row r="1" ht="38.25" customHeight="1" x14ac:dyDescent="0.15"/>
    <row r="3" ht="6.95" customHeight="1" x14ac:dyDescent="0.15"/>
    <row r="8" ht="6.95" customHeight="1" x14ac:dyDescent="0.15"/>
    <row r="20" ht="13.5" customHeight="1" x14ac:dyDescent="0.15"/>
    <row r="28" ht="27.75" customHeight="1" x14ac:dyDescent="0.15"/>
    <row r="45" ht="13.5" customHeight="1" x14ac:dyDescent="0.15"/>
    <row r="49" ht="13.5" customHeight="1" x14ac:dyDescent="0.15"/>
    <row r="67" ht="27" customHeight="1" x14ac:dyDescent="0.15"/>
    <row r="68" ht="13.5" customHeight="1" x14ac:dyDescent="0.15"/>
    <row r="88" ht="31.5" customHeight="1" x14ac:dyDescent="0.15"/>
    <row r="89" ht="27" customHeight="1" x14ac:dyDescent="0.15"/>
    <row r="90" ht="13.5" customHeight="1" x14ac:dyDescent="0.15"/>
    <row r="107" spans="2:8" x14ac:dyDescent="0.15">
      <c r="B107" s="288" t="s">
        <v>158</v>
      </c>
    </row>
    <row r="109" spans="2:8" x14ac:dyDescent="0.15">
      <c r="H109" s="290" t="str">
        <f>HYPERLINK("#入力シート!A1","次へ")</f>
        <v>次へ</v>
      </c>
    </row>
    <row r="111" spans="2:8" x14ac:dyDescent="0.15">
      <c r="B111" s="288" t="s">
        <v>159</v>
      </c>
    </row>
    <row r="113" spans="2:2" x14ac:dyDescent="0.15">
      <c r="B113" s="290" t="str">
        <f>HYPERLINK("#はじめに!A1","戻る")</f>
        <v>戻る</v>
      </c>
    </row>
  </sheetData>
  <sheetProtection algorithmName="SHA-512" hashValue="TKO0wqQDlbMMoccDcv0RN/+x8RMn25qcAzkIJQ6qFDjVkugmnjrpOG0dfQu1p7WUrJmivx1bXpjqo+N4Zp3hQw==" saltValue="KFxA6JCnFqO83uSJrrF8pg==" spinCount="100000" sheet="1" objects="1" scenarios="1" selectLockedCells="1"/>
  <phoneticPr fontId="3"/>
  <pageMargins left="0.7" right="0.7" top="0.75" bottom="0.75" header="0.3" footer="0.3"/>
  <pageSetup paperSize="9" orientation="landscape" r:id="rId1"/>
  <rowBreaks count="1" manualBreakCount="1">
    <brk id="2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B1:L149"/>
  <sheetViews>
    <sheetView showGridLines="0" zoomScale="78" zoomScaleNormal="78" zoomScaleSheetLayoutView="77" workbookViewId="0">
      <selection activeCell="E13" sqref="E13"/>
    </sheetView>
  </sheetViews>
  <sheetFormatPr defaultColWidth="9" defaultRowHeight="13.5" x14ac:dyDescent="0.15"/>
  <cols>
    <col min="1" max="1" width="4.25" style="193" customWidth="1"/>
    <col min="2" max="2" width="6.25" style="193" customWidth="1"/>
    <col min="3" max="3" width="17.875" style="226" customWidth="1"/>
    <col min="4" max="8" width="19.625" style="193" customWidth="1"/>
    <col min="9" max="9" width="8.875" style="193" customWidth="1"/>
    <col min="10" max="10" width="7.25" style="193" customWidth="1"/>
    <col min="11" max="11" width="4.75" style="193" hidden="1" customWidth="1"/>
    <col min="12" max="12" width="3.25" style="193" customWidth="1"/>
    <col min="13" max="16384" width="9" style="193"/>
  </cols>
  <sheetData>
    <row r="1" spans="2:12" ht="14.25" thickBot="1" x14ac:dyDescent="0.2"/>
    <row r="2" spans="2:12" ht="65.25" customHeight="1" thickBot="1" x14ac:dyDescent="0.25">
      <c r="B2" s="191"/>
      <c r="C2" s="293" t="s">
        <v>107</v>
      </c>
      <c r="D2" s="294"/>
      <c r="E2" s="294"/>
      <c r="F2" s="295"/>
      <c r="G2" s="292" t="s">
        <v>155</v>
      </c>
      <c r="H2" s="292"/>
      <c r="I2" s="292"/>
      <c r="J2" s="292"/>
      <c r="K2" s="292"/>
      <c r="L2" s="191"/>
    </row>
    <row r="3" spans="2:12" ht="41.25" customHeight="1" x14ac:dyDescent="0.2">
      <c r="B3" s="191"/>
      <c r="C3" s="298" t="s">
        <v>156</v>
      </c>
      <c r="D3" s="298"/>
      <c r="E3" s="298"/>
      <c r="F3" s="298"/>
      <c r="G3" s="298"/>
      <c r="H3" s="287"/>
      <c r="I3" s="287"/>
      <c r="J3" s="287"/>
      <c r="K3" s="287"/>
      <c r="L3" s="191"/>
    </row>
    <row r="4" spans="2:12" ht="21.75" customHeight="1" thickBot="1" x14ac:dyDescent="0.2">
      <c r="B4" s="191"/>
      <c r="C4" s="253"/>
      <c r="D4" s="253"/>
      <c r="E4" s="253"/>
      <c r="F4" s="253"/>
      <c r="G4" s="263"/>
      <c r="H4" s="263"/>
      <c r="I4" s="263"/>
      <c r="J4" s="263"/>
      <c r="K4" s="263"/>
      <c r="L4" s="191"/>
    </row>
    <row r="5" spans="2:12" ht="30" customHeight="1" thickBot="1" x14ac:dyDescent="0.2">
      <c r="B5" s="191"/>
      <c r="C5" s="279"/>
      <c r="D5" s="280" t="s">
        <v>150</v>
      </c>
      <c r="E5" s="246" t="s">
        <v>151</v>
      </c>
      <c r="F5" s="246" t="s">
        <v>152</v>
      </c>
      <c r="G5" s="246" t="s">
        <v>153</v>
      </c>
      <c r="H5" s="246" t="s">
        <v>154</v>
      </c>
      <c r="I5" s="190"/>
      <c r="J5" s="191"/>
      <c r="K5" s="191"/>
      <c r="L5" s="191"/>
    </row>
    <row r="6" spans="2:12" ht="12.75" hidden="1" customHeight="1" x14ac:dyDescent="0.15">
      <c r="B6" s="191"/>
      <c r="C6" s="277" t="s">
        <v>55</v>
      </c>
      <c r="D6" s="278"/>
      <c r="E6" s="278"/>
      <c r="F6" s="278"/>
      <c r="G6" s="278"/>
      <c r="H6" s="278"/>
      <c r="I6" s="191"/>
      <c r="J6" s="191"/>
      <c r="K6" s="191"/>
      <c r="L6" s="191"/>
    </row>
    <row r="7" spans="2:12" ht="14.25" hidden="1" thickBot="1" x14ac:dyDescent="0.2">
      <c r="B7" s="191"/>
      <c r="C7" s="240" t="s">
        <v>54</v>
      </c>
      <c r="D7" s="241" t="str">
        <f>IF(D6=1,"加入者",IF(D6=2,"擬主",IF(D6=3,"旧国保加入者",IF(D6=9,"特定離職者",""))))</f>
        <v/>
      </c>
      <c r="E7" s="241" t="str">
        <f>IF(E6=1,"加入者",IF(E6=2,"擬主",IF(E6=3,"旧国保加入者",IF(E6=9,"特定離職者",""))))</f>
        <v/>
      </c>
      <c r="F7" s="241" t="str">
        <f>IF(F6=1,"加入者",IF(F6=2,"擬主",IF(F6=3,"旧国保加入者",IF(F6=9,"特定離職者",""))))</f>
        <v/>
      </c>
      <c r="G7" s="241" t="str">
        <f>IF(G6=1,"加入者",IF(G6=2,"擬主",IF(G6=3,"旧国保加入者",IF(G6=9,"特定離職者",""))))</f>
        <v/>
      </c>
      <c r="H7" s="241" t="str">
        <f>IF(H6=1,"加入者",IF(H6=2,"擬主",IF(H6=3,"旧国保加入者",IF(H6=9,"特定離職者",""))))</f>
        <v/>
      </c>
      <c r="I7" s="191"/>
      <c r="J7" s="191"/>
      <c r="K7" s="191"/>
      <c r="L7" s="191"/>
    </row>
    <row r="8" spans="2:12" ht="35.1" customHeight="1" thickBot="1" x14ac:dyDescent="0.2">
      <c r="B8" s="191"/>
      <c r="C8" s="242" t="s">
        <v>125</v>
      </c>
      <c r="D8" s="243" t="s">
        <v>126</v>
      </c>
      <c r="E8" s="243" t="s">
        <v>126</v>
      </c>
      <c r="F8" s="243" t="s">
        <v>126</v>
      </c>
      <c r="G8" s="243" t="s">
        <v>126</v>
      </c>
      <c r="H8" s="243" t="s">
        <v>126</v>
      </c>
      <c r="I8" s="191"/>
      <c r="J8" s="191"/>
      <c r="K8" s="191"/>
      <c r="L8" s="191"/>
    </row>
    <row r="9" spans="2:12" ht="35.1" hidden="1" customHeight="1" thickBot="1" x14ac:dyDescent="0.2">
      <c r="B9" s="191"/>
      <c r="C9" s="242"/>
      <c r="D9" s="244" t="str">
        <f t="array" ref="D9">_xlfn.IFS(D8="18歳以下",10,D8="19歳以上40歳未満",30,D8="40歳以上65歳未満",45,D8="65歳以上75歳未満",70,D8="　","")</f>
        <v/>
      </c>
      <c r="E9" s="244" t="str">
        <f t="array" ref="E9">_xlfn.IFS(E8="18歳以下",10,E8="19歳以上40歳未満",30,E8="40歳以上65歳未満",45,E8="65歳以上75歳未満",70,E8="　","")</f>
        <v/>
      </c>
      <c r="F9" s="244" t="str">
        <f t="array" ref="F9">_xlfn.IFS(F8="18歳以下",10,F8="19歳以上40歳未満",30,F8="40歳以上65歳未満",45,F8="65歳以上75歳未満",70,F8="　","")</f>
        <v/>
      </c>
      <c r="G9" s="244" t="str">
        <f t="array" ref="G9">_xlfn.IFS(G8="18歳以下",10,G8="19歳以上40歳未満",30,G8="40歳以上65歳未満",45,G8="65歳以上75歳未満",70,G8="　","")</f>
        <v/>
      </c>
      <c r="H9" s="244" t="str">
        <f t="array" ref="H9">_xlfn.IFS(H8="18歳以下",10,H8="19歳以上40歳未満",30,H8="40歳以上65歳未満",45,H8="65歳以上75歳未満",70,H8="　","")</f>
        <v/>
      </c>
      <c r="I9" s="191"/>
      <c r="J9" s="191"/>
      <c r="K9" s="191"/>
      <c r="L9" s="191"/>
    </row>
    <row r="10" spans="2:12" ht="30" hidden="1" customHeight="1" thickBot="1" x14ac:dyDescent="0.25">
      <c r="B10" s="195"/>
      <c r="C10" s="245"/>
      <c r="D10" s="280" t="str">
        <f>IF(D8="　","　","加入者1")</f>
        <v>　</v>
      </c>
      <c r="E10" s="280" t="str">
        <f>IF(E8="　","　","加入者2")</f>
        <v>　</v>
      </c>
      <c r="F10" s="280" t="str">
        <f>IF(F8="　","　","加入者3")</f>
        <v>　</v>
      </c>
      <c r="G10" s="280" t="str">
        <f>IF(G8="　","　","加入者4")</f>
        <v>　</v>
      </c>
      <c r="H10" s="280" t="str">
        <f>IF(H8="　","　","加入者5")</f>
        <v>　</v>
      </c>
      <c r="I10" s="191"/>
      <c r="J10" s="191"/>
      <c r="K10" s="191"/>
      <c r="L10" s="191"/>
    </row>
    <row r="11" spans="2:12" ht="35.1" customHeight="1" thickBot="1" x14ac:dyDescent="0.25">
      <c r="B11" s="195"/>
      <c r="C11" s="247" t="s">
        <v>108</v>
      </c>
      <c r="D11" s="248"/>
      <c r="E11" s="248"/>
      <c r="F11" s="248"/>
      <c r="G11" s="248"/>
      <c r="H11" s="248"/>
      <c r="I11" s="195"/>
      <c r="J11" s="191"/>
      <c r="K11" s="191"/>
      <c r="L11" s="191"/>
    </row>
    <row r="12" spans="2:12" ht="24.95" hidden="1" customHeight="1" thickBot="1" x14ac:dyDescent="0.25">
      <c r="B12" s="191"/>
      <c r="C12" s="249" t="s">
        <v>9</v>
      </c>
      <c r="D12" s="291">
        <f>給与所得速算表!D11</f>
        <v>0</v>
      </c>
      <c r="E12" s="291">
        <f>給与所得速算表!E11</f>
        <v>0</v>
      </c>
      <c r="F12" s="291">
        <f>給与所得速算表!F11</f>
        <v>0</v>
      </c>
      <c r="G12" s="291">
        <f>給与所得速算表!G11</f>
        <v>0</v>
      </c>
      <c r="H12" s="291">
        <f>給与所得速算表!H11</f>
        <v>0</v>
      </c>
      <c r="I12" s="195" t="str">
        <f>IF($D$19="","","ERROR!!")</f>
        <v/>
      </c>
      <c r="J12" s="191"/>
      <c r="K12" s="191"/>
      <c r="L12" s="191"/>
    </row>
    <row r="13" spans="2:12" ht="35.1" customHeight="1" thickBot="1" x14ac:dyDescent="0.25">
      <c r="B13" s="191"/>
      <c r="C13" s="247" t="s">
        <v>109</v>
      </c>
      <c r="D13" s="248"/>
      <c r="E13" s="248"/>
      <c r="F13" s="248"/>
      <c r="G13" s="248"/>
      <c r="H13" s="248"/>
      <c r="I13" s="197"/>
      <c r="J13" s="191"/>
      <c r="K13" s="191"/>
      <c r="L13" s="191"/>
    </row>
    <row r="14" spans="2:12" ht="24.95" hidden="1" customHeight="1" thickBot="1" x14ac:dyDescent="0.25">
      <c r="B14" s="191"/>
      <c r="C14" s="250" t="s">
        <v>50</v>
      </c>
      <c r="D14" s="291">
        <f>IF(D13="",0,年金所得速算表!G9)</f>
        <v>0</v>
      </c>
      <c r="E14" s="291">
        <f>IF(E13="",0,年金所得速算表!H9)</f>
        <v>0</v>
      </c>
      <c r="F14" s="291">
        <f>IF(F13="",0,年金所得速算表!I9)</f>
        <v>0</v>
      </c>
      <c r="G14" s="291">
        <f>年金所得速算表!J9</f>
        <v>0</v>
      </c>
      <c r="H14" s="291">
        <f>年金所得速算表!K9</f>
        <v>0</v>
      </c>
      <c r="I14" s="195" t="str">
        <f>IF($D$19="","","ERROR!!")</f>
        <v/>
      </c>
      <c r="J14" s="191"/>
      <c r="K14" s="191"/>
      <c r="L14" s="191"/>
    </row>
    <row r="15" spans="2:12" ht="35.1" customHeight="1" thickBot="1" x14ac:dyDescent="0.25">
      <c r="B15" s="191"/>
      <c r="C15" s="242" t="s">
        <v>110</v>
      </c>
      <c r="D15" s="248"/>
      <c r="E15" s="248"/>
      <c r="F15" s="248"/>
      <c r="G15" s="248"/>
      <c r="H15" s="248"/>
      <c r="I15" s="197"/>
      <c r="J15" s="191"/>
      <c r="K15" s="191"/>
      <c r="L15" s="191"/>
    </row>
    <row r="16" spans="2:12" ht="35.1" hidden="1" customHeight="1" x14ac:dyDescent="0.2">
      <c r="B16" s="191"/>
      <c r="C16" s="281" t="s">
        <v>15</v>
      </c>
      <c r="D16" s="282"/>
      <c r="E16" s="282"/>
      <c r="F16" s="282"/>
      <c r="G16" s="282"/>
      <c r="H16" s="282"/>
      <c r="I16" s="197"/>
      <c r="J16" s="191"/>
      <c r="K16" s="191"/>
      <c r="L16" s="191"/>
    </row>
    <row r="17" spans="2:12" ht="35.1" customHeight="1" thickBot="1" x14ac:dyDescent="0.25">
      <c r="B17" s="191"/>
      <c r="C17" s="284" t="s">
        <v>16</v>
      </c>
      <c r="D17" s="285">
        <f>D12+D14+D15+D16</f>
        <v>0</v>
      </c>
      <c r="E17" s="285">
        <f>E12+E14+E15+E16</f>
        <v>0</v>
      </c>
      <c r="F17" s="285">
        <f>F12+F14+F15+F16</f>
        <v>0</v>
      </c>
      <c r="G17" s="285">
        <f>G12+G14+G15+G16</f>
        <v>0</v>
      </c>
      <c r="H17" s="286">
        <f>H12+H14+H15+H16</f>
        <v>0</v>
      </c>
      <c r="I17" s="195"/>
      <c r="J17" s="191"/>
      <c r="K17" s="191"/>
      <c r="L17" s="191"/>
    </row>
    <row r="18" spans="2:12" ht="27" hidden="1" customHeight="1" x14ac:dyDescent="0.2">
      <c r="B18" s="191"/>
      <c r="C18" s="283"/>
      <c r="D18" s="198"/>
      <c r="E18" s="198"/>
      <c r="F18" s="198"/>
      <c r="G18" s="198"/>
      <c r="H18" s="198"/>
      <c r="I18" s="195"/>
      <c r="J18" s="191"/>
      <c r="K18" s="191"/>
      <c r="L18" s="191"/>
    </row>
    <row r="19" spans="2:12" ht="27" hidden="1" customHeight="1" x14ac:dyDescent="0.2">
      <c r="B19" s="199">
        <v>1</v>
      </c>
      <c r="C19" s="200"/>
      <c r="D19" s="195"/>
      <c r="E19" s="198"/>
      <c r="F19" s="198"/>
      <c r="G19" s="201"/>
      <c r="H19" s="195"/>
      <c r="I19" s="195"/>
      <c r="J19" s="191"/>
      <c r="K19" s="191"/>
      <c r="L19" s="191"/>
    </row>
    <row r="20" spans="2:12" ht="21" hidden="1" customHeight="1" x14ac:dyDescent="0.15">
      <c r="B20" s="299"/>
      <c r="C20" s="301" t="s">
        <v>18</v>
      </c>
      <c r="D20" s="302"/>
      <c r="E20" s="301" t="s">
        <v>21</v>
      </c>
      <c r="F20" s="302"/>
      <c r="G20" s="296" t="s">
        <v>24</v>
      </c>
      <c r="H20" s="296" t="s">
        <v>35</v>
      </c>
      <c r="I20" s="296" t="s">
        <v>36</v>
      </c>
      <c r="J20" s="191"/>
      <c r="K20" s="191"/>
    </row>
    <row r="21" spans="2:12" ht="27" hidden="1" customHeight="1" x14ac:dyDescent="0.15">
      <c r="B21" s="300"/>
      <c r="C21" s="203" t="s">
        <v>39</v>
      </c>
      <c r="D21" s="204" t="s">
        <v>17</v>
      </c>
      <c r="E21" s="205" t="s">
        <v>22</v>
      </c>
      <c r="F21" s="202" t="s">
        <v>17</v>
      </c>
      <c r="G21" s="297"/>
      <c r="H21" s="297"/>
      <c r="I21" s="297"/>
      <c r="J21" s="191"/>
      <c r="K21" s="191"/>
    </row>
    <row r="22" spans="2:12" ht="27" hidden="1" customHeight="1" x14ac:dyDescent="0.2">
      <c r="B22" s="251" t="s">
        <v>28</v>
      </c>
      <c r="C22" s="206">
        <f>国保計算!C21+国保計算!D21+国保計算!E21+国保計算!F21+国保計算!G21</f>
        <v>0</v>
      </c>
      <c r="D22" s="207">
        <f>国保計算!C24+国保計算!D24+国保計算!E24+国保計算!F24+国保計算!G24</f>
        <v>0</v>
      </c>
      <c r="E22" s="208">
        <f>国保計算!H1</f>
        <v>0</v>
      </c>
      <c r="F22" s="209">
        <f>E22*国保計算!E32</f>
        <v>0</v>
      </c>
      <c r="G22" s="207">
        <f>D22+F22</f>
        <v>0</v>
      </c>
      <c r="H22" s="213">
        <f>IF(G22&lt;=660000,0,G22-660000)</f>
        <v>0</v>
      </c>
      <c r="I22" s="207">
        <f>ROUNDDOWN(G22-H22,-2)</f>
        <v>0</v>
      </c>
      <c r="J22" s="191"/>
      <c r="K22" s="191"/>
      <c r="L22" s="210"/>
    </row>
    <row r="23" spans="2:12" ht="27" hidden="1" customHeight="1" x14ac:dyDescent="0.2">
      <c r="B23" s="251" t="s">
        <v>49</v>
      </c>
      <c r="C23" s="206">
        <f>国保計算!C21+国保計算!D21+国保計算!E21+国保計算!F21+国保計算!G21</f>
        <v>0</v>
      </c>
      <c r="D23" s="209">
        <f>国保計算!C25+国保計算!D25+国保計算!E25+国保計算!F25+国保計算!G25</f>
        <v>0</v>
      </c>
      <c r="E23" s="208">
        <f>国保計算!H5</f>
        <v>0</v>
      </c>
      <c r="F23" s="209">
        <f>E23*国保計算!E33</f>
        <v>0</v>
      </c>
      <c r="G23" s="209">
        <f>D23+F23</f>
        <v>0</v>
      </c>
      <c r="H23" s="213">
        <f>IF(G23&lt;=260000,0,G23-260000)</f>
        <v>0</v>
      </c>
      <c r="I23" s="207">
        <f>ROUNDDOWN(G23-H23,-2)</f>
        <v>0</v>
      </c>
      <c r="J23" s="191"/>
      <c r="K23" s="191"/>
      <c r="L23" s="210"/>
    </row>
    <row r="24" spans="2:12" ht="27" hidden="1" customHeight="1" x14ac:dyDescent="0.2">
      <c r="B24" s="251" t="s">
        <v>29</v>
      </c>
      <c r="C24" s="206">
        <f>国保計算!C26+国保計算!D26+国保計算!E26+国保計算!F26+国保計算!G26</f>
        <v>0</v>
      </c>
      <c r="D24" s="209">
        <f>国保計算!C27+国保計算!D27+国保計算!E27+国保計算!F27+国保計算!G27</f>
        <v>0</v>
      </c>
      <c r="E24" s="208">
        <f>国保計算!H4</f>
        <v>0</v>
      </c>
      <c r="F24" s="209">
        <f>E24*国保計算!E34</f>
        <v>0</v>
      </c>
      <c r="G24" s="209">
        <f>D24+F24</f>
        <v>0</v>
      </c>
      <c r="H24" s="213">
        <f>IF(G24&lt;=170000,0,G24-170000)</f>
        <v>0</v>
      </c>
      <c r="I24" s="207">
        <f>ROUNDDOWN(G24-H24,-2)</f>
        <v>0</v>
      </c>
      <c r="J24" s="191"/>
      <c r="K24" s="191"/>
    </row>
    <row r="25" spans="2:12" ht="27" hidden="1" customHeight="1" x14ac:dyDescent="0.2">
      <c r="B25" s="251" t="s">
        <v>127</v>
      </c>
      <c r="C25" s="206">
        <f>国保計算!C21+国保計算!D21+国保計算!E21+国保計算!F21+国保計算!G21</f>
        <v>0</v>
      </c>
      <c r="D25" s="209">
        <f>国保計算!C28+国保計算!D28+国保計算!E28+国保計算!F28+国保計算!G28</f>
        <v>0</v>
      </c>
      <c r="E25" s="208">
        <f>国保計算!H7</f>
        <v>0</v>
      </c>
      <c r="F25" s="209">
        <f>E25*国保計算!E35</f>
        <v>0</v>
      </c>
      <c r="G25" s="209">
        <f>D25+F25</f>
        <v>0</v>
      </c>
      <c r="H25" s="213">
        <f>IF(G25&lt;=30000,0,G25-30000)</f>
        <v>0</v>
      </c>
      <c r="I25" s="207">
        <f>ROUNDDOWN(G25-H25,-2)</f>
        <v>0</v>
      </c>
      <c r="J25" s="191"/>
      <c r="K25" s="191"/>
    </row>
    <row r="26" spans="2:12" ht="27" hidden="1" customHeight="1" x14ac:dyDescent="0.15">
      <c r="B26" s="191"/>
      <c r="C26" s="211"/>
      <c r="D26" s="191"/>
      <c r="E26" s="212"/>
      <c r="F26" s="191"/>
      <c r="G26" s="191"/>
      <c r="H26" s="191"/>
      <c r="I26" s="191"/>
      <c r="J26" s="191"/>
      <c r="K26" s="191"/>
      <c r="L26" s="191"/>
    </row>
    <row r="27" spans="2:12" ht="21" hidden="1" customHeight="1" x14ac:dyDescent="0.15">
      <c r="B27" s="194"/>
      <c r="E27" s="191"/>
      <c r="F27" s="202" t="s">
        <v>37</v>
      </c>
      <c r="G27" s="191"/>
      <c r="H27" s="191"/>
      <c r="I27" s="191"/>
      <c r="J27" s="191"/>
      <c r="K27" s="191"/>
      <c r="L27" s="191"/>
    </row>
    <row r="28" spans="2:12" ht="27" hidden="1" customHeight="1" x14ac:dyDescent="0.2">
      <c r="B28" s="252"/>
      <c r="E28" s="191"/>
      <c r="F28" s="239">
        <f>I22+I23+I24+I25</f>
        <v>0</v>
      </c>
      <c r="G28" s="214"/>
      <c r="H28" s="191"/>
      <c r="I28" s="191"/>
      <c r="J28" s="191"/>
      <c r="K28" s="191"/>
      <c r="L28" s="191"/>
    </row>
    <row r="29" spans="2:12" ht="27" hidden="1" customHeight="1" x14ac:dyDescent="0.15">
      <c r="B29" s="252"/>
      <c r="E29" s="191"/>
      <c r="F29" s="215" t="s">
        <v>61</v>
      </c>
      <c r="G29" s="191"/>
      <c r="H29" s="191"/>
      <c r="I29" s="191"/>
      <c r="J29" s="191"/>
      <c r="K29" s="191"/>
      <c r="L29" s="191"/>
    </row>
    <row r="30" spans="2:12" ht="27" hidden="1" customHeight="1" x14ac:dyDescent="0.2">
      <c r="B30" s="252"/>
      <c r="E30" s="191"/>
      <c r="F30" s="239">
        <f>IF(F28=0,0,IF(MOD(F28,12)&lt;&gt;0,"約","")&amp;ROUNDDOWN(F28/12/1000,0)&amp;","&amp;RIGHT(TEXT(ROUND(F28/12,0),0),3))</f>
        <v>0</v>
      </c>
      <c r="G30" s="216"/>
      <c r="H30" s="191"/>
      <c r="I30" s="191"/>
      <c r="J30" s="191"/>
      <c r="K30" s="191"/>
      <c r="L30" s="191"/>
    </row>
    <row r="31" spans="2:12" ht="27" hidden="1" customHeight="1" x14ac:dyDescent="0.2">
      <c r="B31" s="252"/>
      <c r="E31" s="191"/>
      <c r="F31" s="217"/>
      <c r="G31" s="216"/>
      <c r="H31" s="191"/>
      <c r="I31" s="191"/>
      <c r="J31" s="191"/>
      <c r="K31" s="191"/>
      <c r="L31" s="191"/>
    </row>
    <row r="32" spans="2:12" ht="40.5" customHeight="1" thickBot="1" x14ac:dyDescent="0.25">
      <c r="B32" s="190"/>
      <c r="C32" s="218"/>
      <c r="D32" s="219"/>
      <c r="E32" s="191"/>
      <c r="F32" s="217"/>
      <c r="G32" s="216"/>
      <c r="H32" s="191"/>
      <c r="I32" s="191"/>
      <c r="J32" s="191"/>
      <c r="K32" s="191"/>
      <c r="L32" s="191"/>
    </row>
    <row r="33" spans="2:12" ht="36" customHeight="1" thickBot="1" x14ac:dyDescent="0.2">
      <c r="B33" s="190"/>
      <c r="C33" s="304" t="s">
        <v>113</v>
      </c>
      <c r="D33" s="304"/>
      <c r="E33" s="308" t="s">
        <v>115</v>
      </c>
      <c r="F33" s="308"/>
      <c r="G33" s="306" t="s">
        <v>128</v>
      </c>
      <c r="H33" s="307"/>
      <c r="I33" s="191"/>
      <c r="J33" s="191"/>
      <c r="K33" s="191"/>
      <c r="L33" s="191"/>
    </row>
    <row r="34" spans="2:12" ht="37.5" customHeight="1" thickBot="1" x14ac:dyDescent="0.2">
      <c r="B34" s="190"/>
      <c r="C34" s="305" t="str">
        <f>IF(入力シート!F28=0,"",入力シート!F28)</f>
        <v/>
      </c>
      <c r="D34" s="305"/>
      <c r="E34" s="309" t="str">
        <f>IF(ISERROR(C34/8),"",C34/8)</f>
        <v/>
      </c>
      <c r="F34" s="309"/>
      <c r="G34" s="305" t="str">
        <f>IF(ISERROR(C34/12),"",C34/12)</f>
        <v/>
      </c>
      <c r="H34" s="305"/>
      <c r="I34" s="191"/>
      <c r="J34" s="191"/>
      <c r="K34" s="191"/>
      <c r="L34" s="191"/>
    </row>
    <row r="35" spans="2:12" ht="19.5" customHeight="1" x14ac:dyDescent="0.2">
      <c r="B35" s="190"/>
      <c r="C35" s="220"/>
      <c r="D35" s="220"/>
      <c r="E35" s="230"/>
      <c r="F35" s="230"/>
      <c r="G35" s="220"/>
      <c r="H35" s="220"/>
      <c r="I35" s="191"/>
      <c r="J35" s="191"/>
      <c r="K35" s="191"/>
      <c r="L35" s="191"/>
    </row>
    <row r="36" spans="2:12" ht="20.25" customHeight="1" x14ac:dyDescent="0.2">
      <c r="B36" s="190"/>
      <c r="C36" s="218" t="s">
        <v>114</v>
      </c>
      <c r="D36" s="219"/>
      <c r="E36" s="191"/>
      <c r="F36" s="217"/>
      <c r="G36" s="216"/>
      <c r="H36" s="220"/>
      <c r="I36" s="191"/>
      <c r="J36" s="191"/>
      <c r="K36" s="191"/>
      <c r="L36" s="191"/>
    </row>
    <row r="37" spans="2:12" ht="35.1" customHeight="1" x14ac:dyDescent="0.2">
      <c r="B37" s="190"/>
      <c r="C37" s="213"/>
      <c r="D37" s="228" t="s">
        <v>28</v>
      </c>
      <c r="E37" s="196" t="s">
        <v>49</v>
      </c>
      <c r="F37" s="228" t="s">
        <v>29</v>
      </c>
      <c r="G37" s="196" t="s">
        <v>98</v>
      </c>
      <c r="H37" s="220"/>
      <c r="I37" s="191"/>
      <c r="J37" s="191"/>
      <c r="K37" s="191"/>
      <c r="L37" s="191"/>
    </row>
    <row r="38" spans="2:12" ht="35.1" customHeight="1" x14ac:dyDescent="0.2">
      <c r="B38" s="190"/>
      <c r="C38" s="227" t="s">
        <v>111</v>
      </c>
      <c r="D38" s="255">
        <f>D22</f>
        <v>0</v>
      </c>
      <c r="E38" s="255">
        <f>D23</f>
        <v>0</v>
      </c>
      <c r="F38" s="255">
        <f>D24</f>
        <v>0</v>
      </c>
      <c r="G38" s="255">
        <f>D25</f>
        <v>0</v>
      </c>
      <c r="H38" s="220"/>
      <c r="I38" s="191"/>
      <c r="J38" s="254"/>
      <c r="K38" s="191"/>
      <c r="L38" s="191"/>
    </row>
    <row r="39" spans="2:12" ht="35.1" customHeight="1" thickBot="1" x14ac:dyDescent="0.25">
      <c r="B39" s="190"/>
      <c r="C39" s="229" t="s">
        <v>26</v>
      </c>
      <c r="D39" s="256">
        <f>F22</f>
        <v>0</v>
      </c>
      <c r="E39" s="256">
        <f>F23</f>
        <v>0</v>
      </c>
      <c r="F39" s="256">
        <f>F24</f>
        <v>0</v>
      </c>
      <c r="G39" s="256">
        <f>F25</f>
        <v>0</v>
      </c>
      <c r="H39" s="220"/>
      <c r="I39" s="191"/>
      <c r="J39" s="191"/>
      <c r="K39" s="191"/>
      <c r="L39" s="191"/>
    </row>
    <row r="40" spans="2:12" ht="35.1" customHeight="1" thickTop="1" thickBot="1" x14ac:dyDescent="0.25">
      <c r="B40" s="190"/>
      <c r="C40" s="235" t="s">
        <v>112</v>
      </c>
      <c r="D40" s="257">
        <f>G22</f>
        <v>0</v>
      </c>
      <c r="E40" s="257">
        <f>G23</f>
        <v>0</v>
      </c>
      <c r="F40" s="257">
        <f>G24</f>
        <v>0</v>
      </c>
      <c r="G40" s="257">
        <f>G25</f>
        <v>0</v>
      </c>
      <c r="H40" s="220"/>
      <c r="I40" s="191"/>
      <c r="J40" s="191"/>
      <c r="K40" s="191"/>
      <c r="L40" s="191"/>
    </row>
    <row r="41" spans="2:12" ht="35.1" customHeight="1" thickBot="1" x14ac:dyDescent="0.25">
      <c r="B41" s="190"/>
      <c r="C41" s="236" t="s">
        <v>116</v>
      </c>
      <c r="D41" s="258">
        <f>H22</f>
        <v>0</v>
      </c>
      <c r="E41" s="258">
        <f>H23</f>
        <v>0</v>
      </c>
      <c r="F41" s="258">
        <f>H24</f>
        <v>0</v>
      </c>
      <c r="G41" s="259">
        <f>H25</f>
        <v>0</v>
      </c>
      <c r="H41" s="220"/>
      <c r="I41" s="191"/>
      <c r="J41" s="191"/>
      <c r="K41" s="191"/>
      <c r="L41" s="191"/>
    </row>
    <row r="42" spans="2:12" ht="35.1" customHeight="1" thickBot="1" x14ac:dyDescent="0.25">
      <c r="B42" s="190"/>
      <c r="C42" s="260" t="s">
        <v>36</v>
      </c>
      <c r="D42" s="261">
        <f>I22</f>
        <v>0</v>
      </c>
      <c r="E42" s="261">
        <f>I23</f>
        <v>0</v>
      </c>
      <c r="F42" s="261">
        <f>I24</f>
        <v>0</v>
      </c>
      <c r="G42" s="262">
        <f>I25</f>
        <v>0</v>
      </c>
      <c r="H42" s="234"/>
      <c r="I42" s="191"/>
      <c r="J42" s="191"/>
      <c r="K42" s="191"/>
      <c r="L42" s="191"/>
    </row>
    <row r="43" spans="2:12" ht="27" customHeight="1" x14ac:dyDescent="0.2">
      <c r="B43" s="190"/>
      <c r="C43" s="232"/>
      <c r="D43" s="219"/>
      <c r="E43" s="194"/>
      <c r="F43" s="217"/>
      <c r="G43" s="233"/>
      <c r="H43" s="220"/>
      <c r="I43" s="191"/>
      <c r="J43" s="191"/>
      <c r="K43" s="191"/>
      <c r="L43" s="191"/>
    </row>
    <row r="44" spans="2:12" ht="35.1" customHeight="1" x14ac:dyDescent="0.2">
      <c r="C44" s="289" t="s">
        <v>160</v>
      </c>
      <c r="G44" s="290" t="str">
        <f>HYPERLINK("#収入・所得の入力について!A1","戻る")</f>
        <v>戻る</v>
      </c>
      <c r="K44" s="221"/>
      <c r="L44" s="191"/>
    </row>
    <row r="45" spans="2:12" ht="397.5" customHeight="1" x14ac:dyDescent="0.15">
      <c r="L45" s="191"/>
    </row>
    <row r="46" spans="2:12" ht="35.1" customHeight="1" x14ac:dyDescent="0.15">
      <c r="B46" s="231"/>
      <c r="C46" s="231"/>
      <c r="D46" s="231"/>
      <c r="E46" s="231"/>
      <c r="F46" s="231"/>
      <c r="G46" s="231"/>
      <c r="H46" s="231"/>
      <c r="I46" s="231"/>
      <c r="J46" s="231"/>
      <c r="L46" s="191"/>
    </row>
    <row r="47" spans="2:12" ht="35.1" customHeight="1" x14ac:dyDescent="0.2">
      <c r="B47" s="303" t="s">
        <v>106</v>
      </c>
      <c r="C47" s="303"/>
      <c r="D47" s="303"/>
      <c r="E47" s="303"/>
      <c r="F47" s="303"/>
      <c r="G47" s="303"/>
      <c r="H47" s="303"/>
      <c r="I47" s="303"/>
      <c r="J47" s="303"/>
      <c r="K47" s="221"/>
      <c r="L47" s="191"/>
    </row>
    <row r="48" spans="2:12" ht="35.1" customHeight="1" x14ac:dyDescent="0.2">
      <c r="B48" s="222"/>
      <c r="C48" s="222"/>
      <c r="D48" s="222"/>
      <c r="E48" s="222"/>
      <c r="F48" s="222"/>
      <c r="G48" s="222"/>
      <c r="H48" s="222"/>
      <c r="I48" s="223"/>
      <c r="J48" s="223"/>
      <c r="K48" s="223"/>
      <c r="L48" s="192"/>
    </row>
    <row r="49" spans="2:12" ht="35.1" customHeight="1" x14ac:dyDescent="0.2">
      <c r="B49" s="223"/>
      <c r="C49" s="224"/>
      <c r="D49" s="223"/>
      <c r="E49" s="223"/>
      <c r="F49" s="223"/>
      <c r="G49" s="223"/>
      <c r="H49" s="223"/>
      <c r="I49" s="223"/>
      <c r="J49" s="223"/>
      <c r="K49" s="223"/>
      <c r="L49" s="192"/>
    </row>
    <row r="50" spans="2:12" ht="35.1" customHeight="1" x14ac:dyDescent="0.2">
      <c r="B50" s="223"/>
      <c r="C50" s="224"/>
      <c r="D50" s="223"/>
      <c r="E50" s="223"/>
      <c r="F50" s="223"/>
      <c r="G50" s="223"/>
      <c r="H50" s="223"/>
      <c r="I50" s="223"/>
      <c r="J50" s="223"/>
      <c r="K50" s="223"/>
      <c r="L50" s="192"/>
    </row>
    <row r="51" spans="2:12" ht="35.1" customHeight="1" x14ac:dyDescent="0.2">
      <c r="B51" s="223"/>
      <c r="C51" s="224"/>
      <c r="D51" s="223"/>
      <c r="E51" s="223"/>
      <c r="F51" s="223"/>
      <c r="G51" s="223"/>
      <c r="H51" s="223"/>
      <c r="I51" s="223"/>
      <c r="J51" s="223"/>
      <c r="K51" s="223"/>
      <c r="L51" s="192"/>
    </row>
    <row r="52" spans="2:12" ht="35.1" customHeight="1" x14ac:dyDescent="0.15">
      <c r="B52" s="192"/>
      <c r="C52" s="225"/>
      <c r="D52" s="192"/>
      <c r="E52" s="192"/>
      <c r="F52" s="192"/>
      <c r="G52" s="192"/>
      <c r="H52" s="192"/>
      <c r="I52" s="192"/>
      <c r="J52" s="192"/>
      <c r="K52" s="192"/>
      <c r="L52" s="192"/>
    </row>
    <row r="53" spans="2:12" ht="35.1" customHeight="1" x14ac:dyDescent="0.15">
      <c r="B53" s="192"/>
      <c r="C53" s="225"/>
      <c r="D53" s="192"/>
      <c r="E53" s="192"/>
      <c r="F53" s="192"/>
      <c r="G53" s="192"/>
      <c r="H53" s="192"/>
      <c r="I53" s="192"/>
      <c r="J53" s="192"/>
      <c r="K53" s="192"/>
      <c r="L53" s="192"/>
    </row>
    <row r="54" spans="2:12" ht="35.1" customHeight="1" x14ac:dyDescent="0.15">
      <c r="B54" s="192"/>
      <c r="C54" s="225"/>
      <c r="D54" s="192"/>
      <c r="E54" s="192"/>
      <c r="F54" s="192"/>
      <c r="G54" s="192"/>
      <c r="H54" s="192"/>
      <c r="I54" s="192"/>
      <c r="J54" s="192"/>
      <c r="K54" s="192"/>
      <c r="L54" s="192"/>
    </row>
    <row r="55" spans="2:12" ht="35.1" customHeight="1" x14ac:dyDescent="0.15">
      <c r="B55" s="192"/>
      <c r="C55" s="225"/>
      <c r="D55" s="192"/>
      <c r="E55" s="192"/>
      <c r="F55" s="192"/>
      <c r="G55" s="192"/>
      <c r="H55" s="192"/>
      <c r="I55" s="192"/>
      <c r="J55" s="192"/>
      <c r="K55" s="192"/>
      <c r="L55" s="192"/>
    </row>
    <row r="56" spans="2:12" x14ac:dyDescent="0.15">
      <c r="B56" s="192"/>
      <c r="C56" s="225"/>
      <c r="D56" s="192"/>
      <c r="E56" s="192"/>
      <c r="F56" s="192"/>
      <c r="G56" s="192"/>
      <c r="H56" s="192"/>
      <c r="I56" s="192"/>
      <c r="J56" s="192"/>
      <c r="K56" s="192"/>
      <c r="L56" s="192"/>
    </row>
    <row r="57" spans="2:12" x14ac:dyDescent="0.15">
      <c r="B57" s="192"/>
      <c r="C57" s="225"/>
      <c r="D57" s="192"/>
      <c r="E57" s="192"/>
      <c r="F57" s="192"/>
      <c r="G57" s="192"/>
      <c r="H57" s="192"/>
      <c r="I57" s="192"/>
      <c r="J57" s="192"/>
      <c r="K57" s="192"/>
      <c r="L57" s="192"/>
    </row>
    <row r="58" spans="2:12" x14ac:dyDescent="0.15">
      <c r="B58" s="192"/>
      <c r="C58" s="225"/>
      <c r="D58" s="192"/>
      <c r="E58" s="192"/>
      <c r="F58" s="192"/>
      <c r="G58" s="192"/>
      <c r="H58" s="192"/>
      <c r="I58" s="192"/>
      <c r="J58" s="192"/>
      <c r="K58" s="192"/>
      <c r="L58" s="192"/>
    </row>
    <row r="59" spans="2:12" x14ac:dyDescent="0.15">
      <c r="B59" s="192"/>
      <c r="C59" s="225"/>
      <c r="D59" s="192"/>
      <c r="E59" s="192"/>
      <c r="F59" s="192"/>
      <c r="G59" s="192"/>
      <c r="H59" s="192"/>
      <c r="I59" s="192"/>
      <c r="J59" s="192"/>
      <c r="K59" s="192"/>
      <c r="L59" s="192"/>
    </row>
    <row r="60" spans="2:12" x14ac:dyDescent="0.15">
      <c r="B60" s="192"/>
      <c r="C60" s="225"/>
      <c r="D60" s="192"/>
      <c r="E60" s="192"/>
      <c r="F60" s="192"/>
      <c r="G60" s="192"/>
      <c r="H60" s="192"/>
      <c r="I60" s="192"/>
      <c r="J60" s="192"/>
      <c r="K60" s="192"/>
      <c r="L60" s="192"/>
    </row>
    <row r="61" spans="2:12" x14ac:dyDescent="0.15">
      <c r="B61" s="192"/>
      <c r="C61" s="225"/>
      <c r="D61" s="192"/>
      <c r="E61" s="192"/>
      <c r="F61" s="192"/>
      <c r="G61" s="192"/>
      <c r="H61" s="192"/>
      <c r="I61" s="192"/>
      <c r="J61" s="192"/>
      <c r="K61" s="192"/>
      <c r="L61" s="192"/>
    </row>
    <row r="62" spans="2:12" x14ac:dyDescent="0.15">
      <c r="B62" s="192"/>
      <c r="C62" s="225"/>
      <c r="D62" s="192"/>
      <c r="E62" s="192"/>
      <c r="F62" s="192"/>
      <c r="G62" s="192"/>
      <c r="H62" s="192"/>
      <c r="I62" s="192"/>
      <c r="J62" s="192"/>
      <c r="K62" s="192"/>
      <c r="L62" s="192"/>
    </row>
    <row r="63" spans="2:12" x14ac:dyDescent="0.15">
      <c r="B63" s="192"/>
      <c r="C63" s="225"/>
      <c r="D63" s="192"/>
      <c r="E63" s="192"/>
      <c r="F63" s="192"/>
      <c r="G63" s="192"/>
      <c r="H63" s="192"/>
      <c r="I63" s="192"/>
      <c r="J63" s="192"/>
      <c r="K63" s="192"/>
      <c r="L63" s="192"/>
    </row>
    <row r="64" spans="2:12" x14ac:dyDescent="0.15">
      <c r="B64" s="192"/>
      <c r="C64" s="225"/>
      <c r="D64" s="192"/>
      <c r="E64" s="192"/>
      <c r="F64" s="192"/>
      <c r="G64" s="192"/>
      <c r="H64" s="192"/>
      <c r="I64" s="192"/>
      <c r="J64" s="192"/>
      <c r="K64" s="192"/>
      <c r="L64" s="192"/>
    </row>
    <row r="65" spans="2:12" x14ac:dyDescent="0.15">
      <c r="B65" s="192"/>
      <c r="C65" s="225"/>
      <c r="D65" s="192"/>
      <c r="E65" s="192"/>
      <c r="F65" s="192"/>
      <c r="G65" s="192"/>
      <c r="H65" s="192"/>
      <c r="I65" s="192"/>
      <c r="J65" s="192"/>
      <c r="K65" s="192"/>
      <c r="L65" s="192"/>
    </row>
    <row r="66" spans="2:12" x14ac:dyDescent="0.15">
      <c r="B66" s="192"/>
      <c r="C66" s="225"/>
      <c r="D66" s="192"/>
      <c r="E66" s="192"/>
      <c r="F66" s="192"/>
      <c r="G66" s="192"/>
      <c r="H66" s="192"/>
      <c r="I66" s="192"/>
      <c r="J66" s="192"/>
      <c r="K66" s="192"/>
      <c r="L66" s="192"/>
    </row>
    <row r="67" spans="2:12" x14ac:dyDescent="0.15">
      <c r="B67" s="192"/>
      <c r="C67" s="225"/>
      <c r="D67" s="192"/>
      <c r="E67" s="192"/>
      <c r="F67" s="192"/>
      <c r="G67" s="192"/>
      <c r="H67" s="192"/>
      <c r="I67" s="192"/>
      <c r="J67" s="192"/>
      <c r="K67" s="192"/>
      <c r="L67" s="192"/>
    </row>
    <row r="68" spans="2:12" x14ac:dyDescent="0.15">
      <c r="B68" s="192"/>
      <c r="C68" s="225"/>
      <c r="D68" s="192"/>
      <c r="E68" s="192"/>
      <c r="F68" s="192"/>
      <c r="G68" s="192"/>
      <c r="H68" s="192"/>
      <c r="I68" s="192"/>
      <c r="J68" s="192"/>
      <c r="K68" s="192"/>
      <c r="L68" s="192"/>
    </row>
    <row r="69" spans="2:12" x14ac:dyDescent="0.15">
      <c r="B69" s="192"/>
      <c r="C69" s="225"/>
      <c r="D69" s="192"/>
      <c r="E69" s="192"/>
      <c r="F69" s="192"/>
      <c r="G69" s="192"/>
      <c r="H69" s="192"/>
      <c r="I69" s="192"/>
      <c r="J69" s="192"/>
      <c r="K69" s="192"/>
      <c r="L69" s="192"/>
    </row>
    <row r="70" spans="2:12" x14ac:dyDescent="0.15">
      <c r="B70" s="192"/>
      <c r="C70" s="225"/>
      <c r="D70" s="192"/>
      <c r="E70" s="192"/>
      <c r="F70" s="192"/>
      <c r="G70" s="192"/>
      <c r="H70" s="192"/>
      <c r="I70" s="192"/>
      <c r="J70" s="192"/>
      <c r="K70" s="192"/>
      <c r="L70" s="192"/>
    </row>
    <row r="71" spans="2:12" x14ac:dyDescent="0.15">
      <c r="B71" s="192"/>
      <c r="C71" s="225"/>
      <c r="D71" s="192"/>
      <c r="E71" s="192"/>
      <c r="F71" s="192"/>
      <c r="G71" s="192"/>
      <c r="H71" s="192"/>
      <c r="I71" s="192"/>
      <c r="J71" s="192"/>
      <c r="K71" s="192"/>
      <c r="L71" s="192"/>
    </row>
    <row r="72" spans="2:12" x14ac:dyDescent="0.15">
      <c r="B72" s="192"/>
      <c r="C72" s="225"/>
      <c r="D72" s="192"/>
      <c r="E72" s="192"/>
      <c r="F72" s="192"/>
      <c r="G72" s="192"/>
      <c r="H72" s="192"/>
      <c r="I72" s="192"/>
      <c r="J72" s="192"/>
      <c r="K72" s="192"/>
      <c r="L72" s="192"/>
    </row>
    <row r="73" spans="2:12" x14ac:dyDescent="0.15">
      <c r="B73" s="192"/>
      <c r="C73" s="225"/>
      <c r="D73" s="192"/>
      <c r="E73" s="192"/>
      <c r="F73" s="192"/>
      <c r="G73" s="192"/>
      <c r="H73" s="192"/>
      <c r="I73" s="192"/>
      <c r="J73" s="192"/>
      <c r="K73" s="192"/>
      <c r="L73" s="192"/>
    </row>
    <row r="74" spans="2:12" x14ac:dyDescent="0.15">
      <c r="B74" s="192"/>
      <c r="C74" s="225"/>
      <c r="D74" s="192"/>
      <c r="E74" s="192"/>
      <c r="F74" s="192"/>
      <c r="G74" s="192"/>
      <c r="H74" s="192"/>
      <c r="I74" s="192"/>
      <c r="J74" s="192"/>
      <c r="K74" s="192"/>
      <c r="L74" s="192"/>
    </row>
    <row r="75" spans="2:12" x14ac:dyDescent="0.15">
      <c r="B75" s="192"/>
      <c r="C75" s="225"/>
      <c r="D75" s="192"/>
      <c r="E75" s="192"/>
      <c r="F75" s="192"/>
      <c r="G75" s="192"/>
      <c r="H75" s="192"/>
      <c r="I75" s="192"/>
      <c r="J75" s="192"/>
      <c r="K75" s="192"/>
      <c r="L75" s="192"/>
    </row>
    <row r="76" spans="2:12" x14ac:dyDescent="0.15">
      <c r="B76" s="192"/>
      <c r="C76" s="225"/>
      <c r="D76" s="192"/>
      <c r="E76" s="192"/>
      <c r="F76" s="192"/>
      <c r="G76" s="192"/>
      <c r="H76" s="192"/>
      <c r="I76" s="192"/>
      <c r="J76" s="192"/>
      <c r="K76" s="192"/>
      <c r="L76" s="192"/>
    </row>
    <row r="77" spans="2:12" x14ac:dyDescent="0.15">
      <c r="B77" s="192"/>
      <c r="C77" s="225"/>
      <c r="D77" s="192"/>
      <c r="E77" s="192"/>
      <c r="F77" s="192"/>
      <c r="G77" s="192"/>
      <c r="H77" s="192"/>
      <c r="I77" s="192"/>
      <c r="J77" s="192"/>
      <c r="K77" s="192"/>
      <c r="L77" s="192"/>
    </row>
    <row r="78" spans="2:12" x14ac:dyDescent="0.15">
      <c r="B78" s="192"/>
      <c r="C78" s="225"/>
      <c r="D78" s="192"/>
      <c r="E78" s="192"/>
      <c r="F78" s="192"/>
      <c r="G78" s="192"/>
      <c r="H78" s="192"/>
      <c r="I78" s="192"/>
      <c r="J78" s="192"/>
      <c r="K78" s="192"/>
      <c r="L78" s="192"/>
    </row>
    <row r="79" spans="2:12" x14ac:dyDescent="0.15">
      <c r="B79" s="192"/>
      <c r="C79" s="225"/>
      <c r="D79" s="192"/>
      <c r="E79" s="192"/>
      <c r="F79" s="192"/>
      <c r="G79" s="192"/>
      <c r="H79" s="192"/>
      <c r="I79" s="192"/>
      <c r="J79" s="192"/>
      <c r="K79" s="192"/>
      <c r="L79" s="192"/>
    </row>
    <row r="80" spans="2:12" x14ac:dyDescent="0.15">
      <c r="B80" s="192"/>
      <c r="C80" s="225"/>
      <c r="D80" s="192"/>
      <c r="E80" s="192"/>
      <c r="F80" s="192"/>
      <c r="G80" s="192"/>
      <c r="H80" s="192"/>
      <c r="I80" s="192"/>
      <c r="J80" s="192"/>
      <c r="K80" s="192"/>
      <c r="L80" s="192"/>
    </row>
    <row r="81" spans="2:12" x14ac:dyDescent="0.15">
      <c r="B81" s="192"/>
      <c r="C81" s="225"/>
      <c r="D81" s="192"/>
      <c r="E81" s="192"/>
      <c r="F81" s="192"/>
      <c r="G81" s="192"/>
      <c r="H81" s="192"/>
      <c r="I81" s="192"/>
      <c r="J81" s="192"/>
      <c r="K81" s="192"/>
      <c r="L81" s="192"/>
    </row>
    <row r="82" spans="2:12" x14ac:dyDescent="0.15">
      <c r="B82" s="192"/>
      <c r="C82" s="225"/>
      <c r="D82" s="192"/>
      <c r="E82" s="192"/>
      <c r="F82" s="192"/>
      <c r="G82" s="192"/>
      <c r="H82" s="192"/>
      <c r="I82" s="192"/>
      <c r="J82" s="192"/>
      <c r="K82" s="192"/>
      <c r="L82" s="192"/>
    </row>
    <row r="83" spans="2:12" x14ac:dyDescent="0.15">
      <c r="B83" s="192"/>
      <c r="C83" s="225"/>
      <c r="D83" s="192"/>
      <c r="E83" s="192"/>
      <c r="F83" s="192"/>
      <c r="G83" s="192"/>
      <c r="H83" s="192"/>
      <c r="I83" s="192"/>
      <c r="J83" s="192"/>
      <c r="K83" s="192"/>
      <c r="L83" s="192"/>
    </row>
    <row r="84" spans="2:12" x14ac:dyDescent="0.15">
      <c r="B84" s="192"/>
      <c r="C84" s="225"/>
      <c r="D84" s="192"/>
      <c r="E84" s="192"/>
      <c r="F84" s="192"/>
      <c r="G84" s="192"/>
      <c r="H84" s="192"/>
      <c r="I84" s="192"/>
      <c r="J84" s="192"/>
      <c r="K84" s="192"/>
      <c r="L84" s="192"/>
    </row>
    <row r="85" spans="2:12" x14ac:dyDescent="0.15">
      <c r="B85" s="192"/>
      <c r="C85" s="225"/>
      <c r="D85" s="192"/>
      <c r="E85" s="192"/>
      <c r="F85" s="192"/>
      <c r="G85" s="192"/>
      <c r="H85" s="192"/>
      <c r="I85" s="192"/>
      <c r="J85" s="192"/>
      <c r="K85" s="192"/>
      <c r="L85" s="192"/>
    </row>
    <row r="86" spans="2:12" x14ac:dyDescent="0.15">
      <c r="B86" s="192"/>
      <c r="C86" s="225"/>
      <c r="D86" s="192"/>
      <c r="E86" s="192"/>
      <c r="F86" s="192"/>
      <c r="G86" s="192"/>
      <c r="H86" s="192"/>
      <c r="I86" s="192"/>
      <c r="J86" s="192"/>
      <c r="K86" s="192"/>
      <c r="L86" s="192"/>
    </row>
    <row r="87" spans="2:12" x14ac:dyDescent="0.15">
      <c r="B87" s="192"/>
      <c r="C87" s="225"/>
      <c r="D87" s="192"/>
      <c r="E87" s="192"/>
      <c r="F87" s="192"/>
      <c r="G87" s="192"/>
      <c r="H87" s="192"/>
      <c r="I87" s="192"/>
      <c r="J87" s="192"/>
      <c r="K87" s="192"/>
      <c r="L87" s="192"/>
    </row>
    <row r="88" spans="2:12" x14ac:dyDescent="0.15">
      <c r="B88" s="192"/>
      <c r="C88" s="225"/>
      <c r="D88" s="192"/>
      <c r="E88" s="192"/>
      <c r="F88" s="192"/>
      <c r="G88" s="192"/>
      <c r="H88" s="192"/>
      <c r="I88" s="192"/>
      <c r="J88" s="192"/>
      <c r="K88" s="192"/>
      <c r="L88" s="192"/>
    </row>
    <row r="89" spans="2:12" x14ac:dyDescent="0.15">
      <c r="B89" s="192"/>
      <c r="C89" s="225"/>
      <c r="D89" s="192"/>
      <c r="E89" s="192"/>
      <c r="F89" s="192"/>
      <c r="G89" s="192"/>
      <c r="H89" s="192"/>
      <c r="I89" s="192"/>
      <c r="J89" s="192"/>
      <c r="K89" s="192"/>
      <c r="L89" s="192"/>
    </row>
    <row r="90" spans="2:12" x14ac:dyDescent="0.15">
      <c r="B90" s="192"/>
      <c r="C90" s="225"/>
      <c r="D90" s="192"/>
      <c r="E90" s="192"/>
      <c r="F90" s="192"/>
      <c r="G90" s="192"/>
      <c r="H90" s="192"/>
      <c r="I90" s="192"/>
      <c r="J90" s="192"/>
      <c r="K90" s="192"/>
      <c r="L90" s="192"/>
    </row>
    <row r="91" spans="2:12" x14ac:dyDescent="0.15">
      <c r="B91" s="192"/>
      <c r="C91" s="225"/>
      <c r="D91" s="192"/>
      <c r="E91" s="192"/>
      <c r="F91" s="192"/>
      <c r="G91" s="192"/>
      <c r="H91" s="192"/>
      <c r="I91" s="192"/>
      <c r="J91" s="192"/>
      <c r="K91" s="192"/>
      <c r="L91" s="192"/>
    </row>
    <row r="92" spans="2:12" x14ac:dyDescent="0.15">
      <c r="B92" s="192"/>
      <c r="C92" s="225"/>
      <c r="D92" s="192"/>
      <c r="E92" s="192"/>
      <c r="F92" s="192"/>
      <c r="G92" s="192"/>
      <c r="H92" s="192"/>
      <c r="I92" s="192"/>
      <c r="J92" s="192"/>
      <c r="K92" s="192"/>
      <c r="L92" s="192"/>
    </row>
    <row r="93" spans="2:12" x14ac:dyDescent="0.15">
      <c r="B93" s="192"/>
      <c r="C93" s="225"/>
      <c r="D93" s="192"/>
      <c r="E93" s="192"/>
      <c r="F93" s="192"/>
      <c r="G93" s="192"/>
      <c r="H93" s="192"/>
      <c r="I93" s="192"/>
      <c r="J93" s="192"/>
      <c r="K93" s="192"/>
      <c r="L93" s="192"/>
    </row>
    <row r="94" spans="2:12" x14ac:dyDescent="0.15">
      <c r="B94" s="192"/>
      <c r="C94" s="225"/>
      <c r="D94" s="192"/>
      <c r="E94" s="192"/>
      <c r="F94" s="192"/>
      <c r="G94" s="192"/>
      <c r="H94" s="192"/>
      <c r="I94" s="192"/>
      <c r="J94" s="192"/>
      <c r="K94" s="192"/>
      <c r="L94" s="192"/>
    </row>
    <row r="95" spans="2:12" x14ac:dyDescent="0.15">
      <c r="B95" s="192"/>
      <c r="C95" s="225"/>
      <c r="D95" s="192"/>
      <c r="E95" s="192"/>
      <c r="F95" s="192"/>
      <c r="G95" s="192"/>
      <c r="H95" s="192"/>
      <c r="I95" s="192"/>
      <c r="J95" s="192"/>
      <c r="K95" s="192"/>
      <c r="L95" s="192"/>
    </row>
    <row r="96" spans="2:12" x14ac:dyDescent="0.15">
      <c r="B96" s="192"/>
      <c r="C96" s="225"/>
      <c r="D96" s="192"/>
      <c r="E96" s="192"/>
      <c r="F96" s="192"/>
      <c r="G96" s="192"/>
      <c r="H96" s="192"/>
      <c r="I96" s="192"/>
      <c r="J96" s="192"/>
      <c r="K96" s="192"/>
      <c r="L96" s="192"/>
    </row>
    <row r="97" spans="2:12" x14ac:dyDescent="0.15">
      <c r="B97" s="192"/>
      <c r="C97" s="225"/>
      <c r="D97" s="192"/>
      <c r="E97" s="192"/>
      <c r="F97" s="192"/>
      <c r="G97" s="192"/>
      <c r="H97" s="192"/>
      <c r="I97" s="192"/>
      <c r="J97" s="192"/>
      <c r="K97" s="192"/>
      <c r="L97" s="192"/>
    </row>
    <row r="98" spans="2:12" x14ac:dyDescent="0.15">
      <c r="B98" s="192"/>
      <c r="C98" s="225"/>
      <c r="D98" s="192"/>
      <c r="E98" s="192"/>
      <c r="F98" s="192"/>
      <c r="G98" s="192"/>
      <c r="H98" s="192"/>
      <c r="I98" s="192"/>
      <c r="J98" s="192"/>
      <c r="K98" s="192"/>
      <c r="L98" s="192"/>
    </row>
    <row r="99" spans="2:12" x14ac:dyDescent="0.15">
      <c r="B99" s="192"/>
      <c r="C99" s="225"/>
      <c r="D99" s="192"/>
      <c r="E99" s="192"/>
      <c r="F99" s="192"/>
      <c r="G99" s="192"/>
      <c r="H99" s="192"/>
      <c r="I99" s="192"/>
      <c r="J99" s="192"/>
      <c r="K99" s="192"/>
      <c r="L99" s="192"/>
    </row>
    <row r="100" spans="2:12" x14ac:dyDescent="0.15">
      <c r="B100" s="192"/>
      <c r="C100" s="225"/>
      <c r="D100" s="192"/>
      <c r="E100" s="192"/>
      <c r="F100" s="192"/>
      <c r="G100" s="192"/>
      <c r="H100" s="192"/>
      <c r="I100" s="192"/>
      <c r="J100" s="192"/>
      <c r="K100" s="192"/>
      <c r="L100" s="192"/>
    </row>
    <row r="101" spans="2:12" x14ac:dyDescent="0.15">
      <c r="B101" s="192"/>
      <c r="C101" s="225"/>
      <c r="D101" s="192"/>
      <c r="E101" s="192"/>
      <c r="F101" s="192"/>
      <c r="G101" s="192"/>
      <c r="H101" s="192"/>
      <c r="I101" s="192"/>
      <c r="J101" s="192"/>
      <c r="K101" s="192"/>
      <c r="L101" s="192"/>
    </row>
    <row r="102" spans="2:12" x14ac:dyDescent="0.15">
      <c r="B102" s="192"/>
      <c r="C102" s="225"/>
      <c r="D102" s="192"/>
      <c r="E102" s="192"/>
      <c r="F102" s="192"/>
      <c r="G102" s="192"/>
      <c r="H102" s="192"/>
      <c r="I102" s="192"/>
      <c r="J102" s="192"/>
      <c r="K102" s="192"/>
      <c r="L102" s="192"/>
    </row>
    <row r="103" spans="2:12" x14ac:dyDescent="0.15">
      <c r="B103" s="192"/>
      <c r="C103" s="225"/>
      <c r="D103" s="192"/>
      <c r="E103" s="192"/>
      <c r="F103" s="192"/>
      <c r="G103" s="192"/>
      <c r="H103" s="192"/>
      <c r="I103" s="192"/>
      <c r="J103" s="192"/>
      <c r="K103" s="192"/>
      <c r="L103" s="192"/>
    </row>
    <row r="104" spans="2:12" x14ac:dyDescent="0.15">
      <c r="B104" s="192"/>
      <c r="C104" s="225"/>
      <c r="D104" s="192"/>
      <c r="E104" s="192"/>
      <c r="F104" s="192"/>
      <c r="G104" s="192"/>
      <c r="H104" s="192"/>
      <c r="I104" s="192"/>
      <c r="J104" s="192"/>
      <c r="K104" s="192"/>
      <c r="L104" s="192"/>
    </row>
    <row r="105" spans="2:12" x14ac:dyDescent="0.15">
      <c r="B105" s="192"/>
      <c r="C105" s="225"/>
      <c r="D105" s="192"/>
      <c r="E105" s="192"/>
      <c r="F105" s="192"/>
      <c r="G105" s="192"/>
      <c r="H105" s="192"/>
      <c r="I105" s="192"/>
      <c r="J105" s="192"/>
      <c r="K105" s="192"/>
      <c r="L105" s="192"/>
    </row>
    <row r="106" spans="2:12" x14ac:dyDescent="0.15">
      <c r="B106" s="192"/>
      <c r="C106" s="225"/>
      <c r="D106" s="192"/>
      <c r="E106" s="192"/>
      <c r="F106" s="192"/>
      <c r="G106" s="192"/>
      <c r="H106" s="192"/>
      <c r="I106" s="192"/>
      <c r="J106" s="192"/>
      <c r="K106" s="192"/>
      <c r="L106" s="192"/>
    </row>
    <row r="107" spans="2:12" x14ac:dyDescent="0.15">
      <c r="B107" s="192"/>
      <c r="C107" s="225"/>
      <c r="D107" s="192"/>
      <c r="E107" s="192"/>
      <c r="F107" s="192"/>
      <c r="G107" s="192"/>
      <c r="H107" s="192"/>
      <c r="I107" s="192"/>
      <c r="J107" s="192"/>
      <c r="K107" s="192"/>
      <c r="L107" s="192"/>
    </row>
    <row r="108" spans="2:12" x14ac:dyDescent="0.15">
      <c r="B108" s="192"/>
      <c r="C108" s="225"/>
      <c r="D108" s="192"/>
      <c r="E108" s="192"/>
      <c r="F108" s="192"/>
      <c r="G108" s="192"/>
      <c r="H108" s="192"/>
      <c r="I108" s="192"/>
      <c r="J108" s="192"/>
      <c r="K108" s="192"/>
      <c r="L108" s="192"/>
    </row>
    <row r="109" spans="2:12" x14ac:dyDescent="0.15">
      <c r="B109" s="192"/>
      <c r="C109" s="225"/>
      <c r="D109" s="192"/>
      <c r="E109" s="192"/>
      <c r="F109" s="192"/>
      <c r="G109" s="192"/>
      <c r="H109" s="192"/>
      <c r="I109" s="192"/>
      <c r="J109" s="192"/>
      <c r="K109" s="192"/>
      <c r="L109" s="192"/>
    </row>
    <row r="110" spans="2:12" x14ac:dyDescent="0.15">
      <c r="B110" s="192"/>
      <c r="C110" s="225"/>
      <c r="D110" s="192"/>
      <c r="E110" s="192"/>
      <c r="F110" s="192"/>
      <c r="G110" s="192"/>
      <c r="H110" s="192"/>
      <c r="I110" s="192"/>
      <c r="J110" s="192"/>
      <c r="K110" s="192"/>
      <c r="L110" s="192"/>
    </row>
    <row r="111" spans="2:12" x14ac:dyDescent="0.15">
      <c r="B111" s="192"/>
      <c r="C111" s="225"/>
      <c r="D111" s="192"/>
      <c r="E111" s="192"/>
      <c r="F111" s="192"/>
      <c r="G111" s="192"/>
      <c r="H111" s="192"/>
      <c r="I111" s="192"/>
      <c r="J111" s="192"/>
      <c r="K111" s="192"/>
      <c r="L111" s="192"/>
    </row>
    <row r="112" spans="2:12" x14ac:dyDescent="0.15">
      <c r="B112" s="192"/>
      <c r="C112" s="225"/>
      <c r="D112" s="192"/>
      <c r="E112" s="192"/>
      <c r="F112" s="192"/>
      <c r="G112" s="192"/>
      <c r="H112" s="192"/>
      <c r="I112" s="192"/>
      <c r="J112" s="192"/>
      <c r="K112" s="192"/>
      <c r="L112" s="192"/>
    </row>
    <row r="113" spans="2:12" x14ac:dyDescent="0.15">
      <c r="B113" s="192"/>
      <c r="C113" s="225"/>
      <c r="D113" s="192"/>
      <c r="E113" s="192"/>
      <c r="F113" s="192"/>
      <c r="G113" s="192"/>
      <c r="H113" s="192"/>
      <c r="I113" s="192"/>
      <c r="J113" s="192"/>
      <c r="K113" s="192"/>
      <c r="L113" s="192"/>
    </row>
    <row r="114" spans="2:12" x14ac:dyDescent="0.15">
      <c r="B114" s="192"/>
      <c r="C114" s="225"/>
      <c r="D114" s="192"/>
      <c r="E114" s="192"/>
      <c r="F114" s="192"/>
      <c r="G114" s="192"/>
      <c r="H114" s="192"/>
      <c r="I114" s="192"/>
      <c r="J114" s="192"/>
      <c r="K114" s="192"/>
      <c r="L114" s="192"/>
    </row>
    <row r="115" spans="2:12" x14ac:dyDescent="0.15">
      <c r="B115" s="192"/>
      <c r="C115" s="225"/>
      <c r="D115" s="192"/>
      <c r="E115" s="192"/>
      <c r="F115" s="192"/>
      <c r="G115" s="192"/>
      <c r="H115" s="192"/>
      <c r="I115" s="192"/>
      <c r="J115" s="192"/>
      <c r="K115" s="192"/>
      <c r="L115" s="192"/>
    </row>
    <row r="116" spans="2:12" x14ac:dyDescent="0.15">
      <c r="B116" s="192"/>
      <c r="C116" s="225"/>
      <c r="D116" s="192"/>
      <c r="E116" s="192"/>
      <c r="F116" s="192"/>
      <c r="G116" s="192"/>
      <c r="H116" s="192"/>
      <c r="I116" s="192"/>
      <c r="J116" s="192"/>
      <c r="K116" s="192"/>
      <c r="L116" s="192"/>
    </row>
    <row r="117" spans="2:12" x14ac:dyDescent="0.15">
      <c r="B117" s="192"/>
      <c r="C117" s="225"/>
      <c r="D117" s="192"/>
      <c r="E117" s="192"/>
      <c r="F117" s="192"/>
      <c r="G117" s="192"/>
      <c r="H117" s="192"/>
      <c r="I117" s="192"/>
      <c r="J117" s="192"/>
      <c r="K117" s="192"/>
      <c r="L117" s="192"/>
    </row>
    <row r="118" spans="2:12" x14ac:dyDescent="0.15">
      <c r="B118" s="192"/>
      <c r="C118" s="225"/>
      <c r="D118" s="192"/>
      <c r="E118" s="192"/>
      <c r="F118" s="192"/>
      <c r="G118" s="192"/>
      <c r="H118" s="192"/>
      <c r="I118" s="192"/>
      <c r="J118" s="192"/>
      <c r="K118" s="192"/>
      <c r="L118" s="192"/>
    </row>
    <row r="119" spans="2:12" x14ac:dyDescent="0.15">
      <c r="B119" s="192"/>
      <c r="C119" s="225"/>
      <c r="D119" s="192"/>
      <c r="E119" s="192"/>
      <c r="F119" s="192"/>
      <c r="G119" s="192"/>
      <c r="H119" s="192"/>
      <c r="I119" s="192"/>
      <c r="J119" s="192"/>
      <c r="K119" s="192"/>
      <c r="L119" s="192"/>
    </row>
    <row r="120" spans="2:12" x14ac:dyDescent="0.15">
      <c r="B120" s="192"/>
      <c r="C120" s="225"/>
      <c r="D120" s="192"/>
      <c r="E120" s="192"/>
      <c r="F120" s="192"/>
      <c r="G120" s="192"/>
      <c r="H120" s="192"/>
      <c r="I120" s="192"/>
      <c r="J120" s="192"/>
      <c r="K120" s="192"/>
      <c r="L120" s="192"/>
    </row>
    <row r="121" spans="2:12" x14ac:dyDescent="0.15">
      <c r="B121" s="192"/>
      <c r="C121" s="225"/>
      <c r="D121" s="192"/>
      <c r="E121" s="192"/>
      <c r="F121" s="192"/>
      <c r="G121" s="192"/>
      <c r="H121" s="192"/>
      <c r="I121" s="192"/>
      <c r="J121" s="192"/>
      <c r="K121" s="192"/>
      <c r="L121" s="192"/>
    </row>
    <row r="122" spans="2:12" x14ac:dyDescent="0.15">
      <c r="B122" s="192"/>
      <c r="C122" s="225"/>
      <c r="D122" s="192"/>
      <c r="E122" s="192"/>
      <c r="F122" s="192"/>
      <c r="G122" s="192"/>
      <c r="H122" s="192"/>
      <c r="I122" s="192"/>
      <c r="J122" s="192"/>
      <c r="K122" s="192"/>
      <c r="L122" s="192"/>
    </row>
    <row r="123" spans="2:12" x14ac:dyDescent="0.15">
      <c r="B123" s="192"/>
      <c r="C123" s="225"/>
      <c r="D123" s="192"/>
      <c r="E123" s="192"/>
      <c r="F123" s="192"/>
      <c r="G123" s="192"/>
      <c r="H123" s="192"/>
      <c r="I123" s="192"/>
      <c r="J123" s="192"/>
      <c r="K123" s="192"/>
      <c r="L123" s="192"/>
    </row>
    <row r="124" spans="2:12" x14ac:dyDescent="0.15">
      <c r="B124" s="192"/>
      <c r="C124" s="225"/>
      <c r="D124" s="192"/>
      <c r="E124" s="192"/>
      <c r="F124" s="192"/>
      <c r="G124" s="192"/>
      <c r="H124" s="192"/>
      <c r="I124" s="192"/>
      <c r="J124" s="192"/>
      <c r="K124" s="192"/>
      <c r="L124" s="192"/>
    </row>
    <row r="125" spans="2:12" x14ac:dyDescent="0.15">
      <c r="B125" s="192"/>
      <c r="C125" s="225"/>
      <c r="D125" s="192"/>
      <c r="E125" s="192"/>
      <c r="F125" s="192"/>
      <c r="G125" s="192"/>
      <c r="H125" s="192"/>
      <c r="I125" s="192"/>
      <c r="J125" s="192"/>
      <c r="K125" s="192"/>
      <c r="L125" s="192"/>
    </row>
    <row r="126" spans="2:12" x14ac:dyDescent="0.15">
      <c r="B126" s="192"/>
      <c r="C126" s="225"/>
      <c r="D126" s="192"/>
      <c r="E126" s="192"/>
      <c r="F126" s="192"/>
      <c r="G126" s="192"/>
      <c r="H126" s="192"/>
      <c r="I126" s="192"/>
      <c r="J126" s="192"/>
      <c r="K126" s="192"/>
      <c r="L126" s="192"/>
    </row>
    <row r="127" spans="2:12" x14ac:dyDescent="0.15">
      <c r="B127" s="192"/>
      <c r="C127" s="225"/>
      <c r="D127" s="192"/>
      <c r="E127" s="192"/>
      <c r="F127" s="192"/>
      <c r="G127" s="192"/>
      <c r="H127" s="192"/>
      <c r="I127" s="192"/>
      <c r="J127" s="192"/>
      <c r="K127" s="192"/>
      <c r="L127" s="192"/>
    </row>
    <row r="128" spans="2:12" x14ac:dyDescent="0.15">
      <c r="B128" s="192"/>
      <c r="C128" s="225"/>
      <c r="D128" s="192"/>
      <c r="E128" s="192"/>
      <c r="F128" s="192"/>
      <c r="G128" s="192"/>
      <c r="H128" s="192"/>
      <c r="I128" s="192"/>
      <c r="J128" s="192"/>
      <c r="K128" s="192"/>
      <c r="L128" s="192"/>
    </row>
    <row r="129" spans="2:12" x14ac:dyDescent="0.15">
      <c r="B129" s="192"/>
      <c r="C129" s="225"/>
      <c r="D129" s="192"/>
      <c r="E129" s="192"/>
      <c r="F129" s="192"/>
      <c r="G129" s="192"/>
      <c r="H129" s="192"/>
      <c r="I129" s="192"/>
      <c r="J129" s="192"/>
      <c r="K129" s="192"/>
      <c r="L129" s="192"/>
    </row>
    <row r="130" spans="2:12" x14ac:dyDescent="0.15">
      <c r="B130" s="192"/>
      <c r="C130" s="225"/>
      <c r="D130" s="192"/>
      <c r="E130" s="192"/>
      <c r="F130" s="192"/>
      <c r="G130" s="192"/>
      <c r="H130" s="192"/>
      <c r="I130" s="192"/>
      <c r="J130" s="192"/>
      <c r="K130" s="192"/>
      <c r="L130" s="192"/>
    </row>
    <row r="131" spans="2:12" x14ac:dyDescent="0.15">
      <c r="B131" s="192"/>
      <c r="C131" s="225"/>
      <c r="D131" s="192"/>
      <c r="E131" s="192"/>
      <c r="F131" s="192"/>
      <c r="G131" s="192"/>
      <c r="H131" s="192"/>
      <c r="I131" s="192"/>
      <c r="J131" s="192"/>
      <c r="K131" s="192"/>
      <c r="L131" s="192"/>
    </row>
    <row r="132" spans="2:12" x14ac:dyDescent="0.15">
      <c r="B132" s="192"/>
      <c r="C132" s="225"/>
      <c r="D132" s="192"/>
      <c r="E132" s="192"/>
      <c r="F132" s="192"/>
      <c r="G132" s="192"/>
      <c r="H132" s="192"/>
      <c r="I132" s="192"/>
      <c r="J132" s="192"/>
      <c r="K132" s="192"/>
      <c r="L132" s="192"/>
    </row>
    <row r="133" spans="2:12" x14ac:dyDescent="0.15">
      <c r="B133" s="192"/>
      <c r="C133" s="225"/>
      <c r="D133" s="192"/>
      <c r="E133" s="192"/>
      <c r="F133" s="192"/>
      <c r="G133" s="192"/>
      <c r="H133" s="192"/>
      <c r="I133" s="192"/>
      <c r="J133" s="192"/>
      <c r="K133" s="192"/>
      <c r="L133" s="192"/>
    </row>
    <row r="134" spans="2:12" x14ac:dyDescent="0.15">
      <c r="B134" s="192"/>
      <c r="C134" s="225"/>
      <c r="D134" s="192"/>
      <c r="E134" s="192"/>
      <c r="F134" s="192"/>
      <c r="G134" s="192"/>
      <c r="H134" s="192"/>
      <c r="I134" s="192"/>
      <c r="J134" s="192"/>
      <c r="K134" s="192"/>
      <c r="L134" s="192"/>
    </row>
    <row r="135" spans="2:12" x14ac:dyDescent="0.15">
      <c r="B135" s="192"/>
      <c r="C135" s="225"/>
      <c r="D135" s="192"/>
      <c r="E135" s="192"/>
      <c r="F135" s="192"/>
      <c r="G135" s="192"/>
      <c r="H135" s="192"/>
      <c r="I135" s="192"/>
      <c r="J135" s="192"/>
      <c r="K135" s="192"/>
      <c r="L135" s="192"/>
    </row>
    <row r="136" spans="2:12" x14ac:dyDescent="0.15">
      <c r="B136" s="192"/>
      <c r="C136" s="225"/>
      <c r="D136" s="192"/>
      <c r="E136" s="192"/>
      <c r="F136" s="192"/>
      <c r="G136" s="192"/>
      <c r="H136" s="192"/>
      <c r="I136" s="192"/>
      <c r="J136" s="192"/>
      <c r="K136" s="192"/>
      <c r="L136" s="192"/>
    </row>
    <row r="137" spans="2:12" x14ac:dyDescent="0.15">
      <c r="B137" s="192"/>
      <c r="C137" s="225"/>
      <c r="D137" s="192"/>
      <c r="E137" s="192"/>
      <c r="F137" s="192"/>
      <c r="G137" s="192"/>
      <c r="H137" s="192"/>
      <c r="I137" s="192"/>
      <c r="J137" s="192"/>
      <c r="K137" s="192"/>
      <c r="L137" s="192"/>
    </row>
    <row r="138" spans="2:12" x14ac:dyDescent="0.15">
      <c r="B138" s="192"/>
      <c r="C138" s="225"/>
      <c r="D138" s="192"/>
      <c r="E138" s="192"/>
      <c r="F138" s="192"/>
      <c r="G138" s="192"/>
      <c r="H138" s="192"/>
      <c r="I138" s="192"/>
      <c r="J138" s="192"/>
      <c r="K138" s="192"/>
      <c r="L138" s="192"/>
    </row>
    <row r="139" spans="2:12" x14ac:dyDescent="0.15">
      <c r="B139" s="192"/>
      <c r="C139" s="225"/>
      <c r="D139" s="192"/>
      <c r="E139" s="192"/>
      <c r="F139" s="192"/>
      <c r="G139" s="192"/>
      <c r="H139" s="192"/>
      <c r="I139" s="192"/>
      <c r="J139" s="192"/>
      <c r="K139" s="192"/>
      <c r="L139" s="192"/>
    </row>
    <row r="140" spans="2:12" x14ac:dyDescent="0.15">
      <c r="B140" s="192"/>
      <c r="C140" s="225"/>
      <c r="D140" s="192"/>
      <c r="E140" s="192"/>
      <c r="F140" s="192"/>
      <c r="G140" s="192"/>
      <c r="H140" s="192"/>
      <c r="I140" s="192"/>
      <c r="J140" s="192"/>
      <c r="K140" s="192"/>
      <c r="L140" s="192"/>
    </row>
    <row r="141" spans="2:12" x14ac:dyDescent="0.15">
      <c r="B141" s="192"/>
      <c r="C141" s="225"/>
      <c r="D141" s="192"/>
      <c r="E141" s="192"/>
      <c r="F141" s="192"/>
      <c r="G141" s="192"/>
      <c r="H141" s="192"/>
      <c r="I141" s="192"/>
      <c r="J141" s="192"/>
      <c r="K141" s="192"/>
      <c r="L141" s="192"/>
    </row>
    <row r="142" spans="2:12" x14ac:dyDescent="0.15">
      <c r="B142" s="192"/>
      <c r="C142" s="225"/>
      <c r="D142" s="192"/>
      <c r="E142" s="192"/>
      <c r="F142" s="192"/>
      <c r="G142" s="192"/>
      <c r="H142" s="192"/>
      <c r="I142" s="192"/>
      <c r="J142" s="192"/>
      <c r="K142" s="192"/>
      <c r="L142" s="192"/>
    </row>
    <row r="143" spans="2:12" x14ac:dyDescent="0.15">
      <c r="B143" s="192"/>
      <c r="C143" s="225"/>
      <c r="D143" s="192"/>
      <c r="E143" s="192"/>
      <c r="F143" s="192"/>
      <c r="G143" s="192"/>
      <c r="H143" s="192"/>
      <c r="I143" s="192"/>
      <c r="J143" s="192"/>
      <c r="K143" s="192"/>
      <c r="L143" s="192"/>
    </row>
    <row r="144" spans="2:12" x14ac:dyDescent="0.15">
      <c r="B144" s="192"/>
      <c r="C144" s="225"/>
      <c r="D144" s="192"/>
      <c r="E144" s="192"/>
      <c r="F144" s="192"/>
      <c r="G144" s="192"/>
      <c r="H144" s="192"/>
      <c r="I144" s="192"/>
      <c r="J144" s="192"/>
      <c r="K144" s="192"/>
      <c r="L144" s="192"/>
    </row>
    <row r="145" spans="2:12" x14ac:dyDescent="0.15">
      <c r="B145" s="192"/>
      <c r="C145" s="225"/>
      <c r="D145" s="192"/>
      <c r="E145" s="192"/>
      <c r="F145" s="192"/>
      <c r="G145" s="192"/>
      <c r="H145" s="192"/>
      <c r="I145" s="192"/>
      <c r="J145" s="192"/>
      <c r="K145" s="192"/>
      <c r="L145" s="192"/>
    </row>
    <row r="146" spans="2:12" x14ac:dyDescent="0.15">
      <c r="B146" s="192"/>
      <c r="C146" s="225"/>
      <c r="D146" s="192"/>
      <c r="E146" s="192"/>
      <c r="F146" s="192"/>
      <c r="G146" s="192"/>
      <c r="H146" s="192"/>
      <c r="I146" s="192"/>
      <c r="J146" s="192"/>
      <c r="K146" s="192"/>
      <c r="L146" s="192"/>
    </row>
    <row r="147" spans="2:12" x14ac:dyDescent="0.15">
      <c r="B147" s="192"/>
      <c r="C147" s="225"/>
      <c r="D147" s="192"/>
      <c r="E147" s="192"/>
      <c r="F147" s="192"/>
      <c r="G147" s="192"/>
      <c r="H147" s="192"/>
      <c r="I147" s="192"/>
      <c r="J147" s="192"/>
      <c r="K147" s="192"/>
      <c r="L147" s="192"/>
    </row>
    <row r="148" spans="2:12" x14ac:dyDescent="0.15">
      <c r="B148" s="192"/>
      <c r="C148" s="225"/>
      <c r="D148" s="192"/>
      <c r="E148" s="192"/>
      <c r="F148" s="192"/>
      <c r="G148" s="192"/>
      <c r="H148" s="192"/>
      <c r="I148" s="192"/>
      <c r="J148" s="192"/>
      <c r="K148" s="192"/>
      <c r="L148" s="192"/>
    </row>
    <row r="149" spans="2:12" x14ac:dyDescent="0.15">
      <c r="B149" s="192"/>
      <c r="C149" s="225"/>
      <c r="D149" s="192"/>
      <c r="E149" s="192"/>
      <c r="F149" s="192"/>
      <c r="G149" s="192"/>
      <c r="H149" s="192"/>
      <c r="I149" s="192"/>
      <c r="J149" s="192"/>
      <c r="K149" s="192"/>
      <c r="L149" s="192"/>
    </row>
  </sheetData>
  <sheetProtection algorithmName="SHA-512" hashValue="EOJrNE5vj6+DUfhdwLj42DeZMmLJ0UJbC62OXuqxdAsHP7cTgpUd8r1I9bOGDFHAsUpzqqsd2SPQmwDJ/8WFpQ==" saltValue="UPkVgzsUb/5nviTP6td1sw==" spinCount="100000" sheet="1" scenarios="1" selectLockedCells="1"/>
  <mergeCells count="16">
    <mergeCell ref="B47:J47"/>
    <mergeCell ref="C33:D33"/>
    <mergeCell ref="C34:D34"/>
    <mergeCell ref="G33:H33"/>
    <mergeCell ref="G34:H34"/>
    <mergeCell ref="E33:F33"/>
    <mergeCell ref="E34:F34"/>
    <mergeCell ref="G2:K2"/>
    <mergeCell ref="C2:F2"/>
    <mergeCell ref="H20:H21"/>
    <mergeCell ref="C3:G3"/>
    <mergeCell ref="B20:B21"/>
    <mergeCell ref="C20:D20"/>
    <mergeCell ref="E20:F20"/>
    <mergeCell ref="I20:I21"/>
    <mergeCell ref="G20:G21"/>
  </mergeCells>
  <phoneticPr fontId="3"/>
  <conditionalFormatting sqref="D8:H9">
    <cfRule type="expression" dxfId="1" priority="4" stopIfTrue="1">
      <formula>AND($D$6=1,$D$8&gt;74)</formula>
    </cfRule>
  </conditionalFormatting>
  <conditionalFormatting sqref="D7:H7">
    <cfRule type="cellIs" dxfId="0" priority="13" stopIfTrue="1" operator="equal">
      <formula>"特定離職者"</formula>
    </cfRule>
  </conditionalFormatting>
  <dataValidations count="2">
    <dataValidation imeMode="off" allowBlank="1" showInputMessage="1" showErrorMessage="1" sqref="D6:H6 D5 D15:H16 D11:H11 D13:H13 D9:H9" xr:uid="{00000000-0002-0000-0200-000000000000}"/>
    <dataValidation type="list" imeMode="off" allowBlank="1" showInputMessage="1" showErrorMessage="1" sqref="D8:H8" xr:uid="{00000000-0002-0000-0200-000001000000}">
      <formula1>",　,18歳以下,19歳以上40歳未満,40歳以上65歳未満,65歳以上75歳未満"</formula1>
    </dataValidation>
  </dataValidations>
  <pageMargins left="0.2" right="0.19" top="0.6" bottom="0.56000000000000005" header="0.37" footer="0.43"/>
  <pageSetup paperSize="9" scale="71"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2:P120"/>
  <sheetViews>
    <sheetView showGridLines="0" topLeftCell="A8" zoomScale="112" zoomScaleNormal="112" workbookViewId="0">
      <selection activeCell="B12" sqref="B12:J13"/>
    </sheetView>
  </sheetViews>
  <sheetFormatPr defaultRowHeight="13.5" x14ac:dyDescent="0.15"/>
  <cols>
    <col min="1" max="1" width="4.375" customWidth="1"/>
    <col min="12" max="12" width="15.625" customWidth="1"/>
  </cols>
  <sheetData>
    <row r="2" spans="1:15" ht="21" customHeight="1" x14ac:dyDescent="0.2">
      <c r="B2" s="5" t="s">
        <v>129</v>
      </c>
    </row>
    <row r="3" spans="1:15" ht="186.75" customHeight="1" x14ac:dyDescent="0.15">
      <c r="B3" s="311" t="s">
        <v>147</v>
      </c>
      <c r="C3" s="311"/>
      <c r="D3" s="311"/>
      <c r="E3" s="311"/>
      <c r="F3" s="311"/>
      <c r="G3" s="311"/>
      <c r="H3" s="311"/>
      <c r="I3" s="311"/>
      <c r="J3" s="311"/>
      <c r="K3" s="311"/>
      <c r="L3" s="311"/>
      <c r="M3" s="311"/>
    </row>
    <row r="4" spans="1:15" ht="44.25" customHeight="1" x14ac:dyDescent="0.2">
      <c r="B4" s="313" t="s">
        <v>63</v>
      </c>
      <c r="C4" s="313"/>
      <c r="D4" s="221"/>
      <c r="E4" s="221"/>
      <c r="F4" s="221"/>
      <c r="G4" s="221"/>
      <c r="H4" s="221"/>
      <c r="I4" s="221"/>
      <c r="J4" s="221"/>
    </row>
    <row r="5" spans="1:15" ht="264.75" customHeight="1" x14ac:dyDescent="0.15">
      <c r="B5" s="312" t="s">
        <v>146</v>
      </c>
      <c r="C5" s="312"/>
      <c r="D5" s="312"/>
      <c r="E5" s="312"/>
      <c r="F5" s="312"/>
      <c r="G5" s="312"/>
      <c r="H5" s="312"/>
      <c r="I5" s="312"/>
      <c r="J5" s="312"/>
      <c r="K5" s="312"/>
      <c r="L5" s="312"/>
      <c r="M5" s="312"/>
    </row>
    <row r="8" spans="1:15" x14ac:dyDescent="0.15">
      <c r="B8" s="310" t="s">
        <v>148</v>
      </c>
      <c r="C8" s="310"/>
      <c r="D8" s="310"/>
      <c r="E8" s="310"/>
      <c r="F8" s="310"/>
      <c r="G8" s="310"/>
      <c r="H8" s="310"/>
    </row>
    <row r="9" spans="1:15" x14ac:dyDescent="0.15">
      <c r="B9" s="310"/>
      <c r="C9" s="310"/>
      <c r="D9" s="310"/>
      <c r="E9" s="310"/>
      <c r="F9" s="310"/>
      <c r="G9" s="310"/>
      <c r="H9" s="310"/>
    </row>
    <row r="10" spans="1:15" ht="9.75" customHeight="1" x14ac:dyDescent="0.15"/>
    <row r="11" spans="1:15" x14ac:dyDescent="0.15">
      <c r="A11" s="238"/>
      <c r="O11" s="238"/>
    </row>
    <row r="12" spans="1:15" x14ac:dyDescent="0.15">
      <c r="A12" s="238"/>
      <c r="B12" s="310" t="s">
        <v>149</v>
      </c>
      <c r="C12" s="310"/>
      <c r="D12" s="310"/>
      <c r="E12" s="310"/>
      <c r="F12" s="310"/>
      <c r="G12" s="310"/>
      <c r="H12" s="310"/>
      <c r="I12" s="310"/>
      <c r="J12" s="310"/>
      <c r="O12" s="238"/>
    </row>
    <row r="13" spans="1:15" x14ac:dyDescent="0.15">
      <c r="A13" s="238"/>
      <c r="B13" s="310"/>
      <c r="C13" s="310"/>
      <c r="D13" s="310"/>
      <c r="E13" s="310"/>
      <c r="F13" s="310"/>
      <c r="G13" s="310"/>
      <c r="H13" s="310"/>
      <c r="I13" s="310"/>
      <c r="J13" s="310"/>
      <c r="O13" s="238"/>
    </row>
    <row r="14" spans="1:15" x14ac:dyDescent="0.15">
      <c r="A14" s="238"/>
      <c r="O14" s="238"/>
    </row>
    <row r="15" spans="1:15" x14ac:dyDescent="0.15">
      <c r="A15" s="238"/>
      <c r="O15" s="238"/>
    </row>
    <row r="16" spans="1:15" x14ac:dyDescent="0.15">
      <c r="A16" s="238"/>
      <c r="O16" s="238"/>
    </row>
    <row r="17" spans="1:15" x14ac:dyDescent="0.15">
      <c r="A17" s="238"/>
      <c r="O17" s="238"/>
    </row>
    <row r="18" spans="1:15" x14ac:dyDescent="0.15">
      <c r="A18" s="238"/>
      <c r="O18" s="238"/>
    </row>
    <row r="19" spans="1:15" x14ac:dyDescent="0.15">
      <c r="A19" s="238"/>
      <c r="O19" s="238"/>
    </row>
    <row r="20" spans="1:15" x14ac:dyDescent="0.15">
      <c r="A20" s="238"/>
      <c r="O20" s="238"/>
    </row>
    <row r="21" spans="1:15" x14ac:dyDescent="0.15">
      <c r="A21" s="238"/>
      <c r="O21" s="238"/>
    </row>
    <row r="22" spans="1:15" x14ac:dyDescent="0.15">
      <c r="A22" s="238"/>
      <c r="O22" s="238"/>
    </row>
    <row r="23" spans="1:15" x14ac:dyDescent="0.15">
      <c r="A23" s="238"/>
      <c r="O23" s="238"/>
    </row>
    <row r="24" spans="1:15" x14ac:dyDescent="0.15">
      <c r="A24" s="238"/>
      <c r="O24" s="238"/>
    </row>
    <row r="25" spans="1:15" x14ac:dyDescent="0.15">
      <c r="A25" s="238"/>
      <c r="O25" s="238"/>
    </row>
    <row r="26" spans="1:15" x14ac:dyDescent="0.15">
      <c r="A26" s="238"/>
      <c r="O26" s="238"/>
    </row>
    <row r="27" spans="1:15" x14ac:dyDescent="0.15">
      <c r="A27" s="238"/>
      <c r="O27" s="238"/>
    </row>
    <row r="28" spans="1:15" x14ac:dyDescent="0.15">
      <c r="A28" s="238"/>
      <c r="O28" s="238"/>
    </row>
    <row r="29" spans="1:15" x14ac:dyDescent="0.15">
      <c r="A29" s="238"/>
      <c r="O29" s="238"/>
    </row>
    <row r="30" spans="1:15" x14ac:dyDescent="0.15">
      <c r="A30" s="238"/>
      <c r="O30" s="238"/>
    </row>
    <row r="31" spans="1:15" x14ac:dyDescent="0.15">
      <c r="A31" s="238"/>
      <c r="O31" s="238"/>
    </row>
    <row r="32" spans="1:15" x14ac:dyDescent="0.15">
      <c r="A32" s="238"/>
      <c r="O32" s="238"/>
    </row>
    <row r="33" spans="1:15" x14ac:dyDescent="0.15">
      <c r="A33" s="238"/>
      <c r="O33" s="238"/>
    </row>
    <row r="34" spans="1:15" x14ac:dyDescent="0.15">
      <c r="A34" s="238"/>
      <c r="O34" s="238"/>
    </row>
    <row r="35" spans="1:15" x14ac:dyDescent="0.15">
      <c r="A35" s="238"/>
      <c r="O35" s="238"/>
    </row>
    <row r="36" spans="1:15" x14ac:dyDescent="0.15">
      <c r="A36" s="238"/>
      <c r="O36" s="238"/>
    </row>
    <row r="37" spans="1:15" x14ac:dyDescent="0.15">
      <c r="A37" s="238"/>
      <c r="O37" s="238"/>
    </row>
    <row r="38" spans="1:15" x14ac:dyDescent="0.15">
      <c r="A38" s="238"/>
      <c r="O38" s="238"/>
    </row>
    <row r="39" spans="1:15" x14ac:dyDescent="0.15">
      <c r="A39" s="238"/>
      <c r="O39" s="238"/>
    </row>
    <row r="40" spans="1:15" x14ac:dyDescent="0.15">
      <c r="A40" s="238"/>
      <c r="O40" s="238"/>
    </row>
    <row r="41" spans="1:15" x14ac:dyDescent="0.15">
      <c r="A41" s="238"/>
      <c r="O41" s="238"/>
    </row>
    <row r="42" spans="1:15" x14ac:dyDescent="0.15">
      <c r="A42" s="238"/>
      <c r="O42" s="238"/>
    </row>
    <row r="43" spans="1:15" x14ac:dyDescent="0.15">
      <c r="A43" s="238"/>
      <c r="O43" s="238"/>
    </row>
    <row r="44" spans="1:15" x14ac:dyDescent="0.15">
      <c r="A44" s="238"/>
      <c r="O44" s="238"/>
    </row>
    <row r="45" spans="1:15" x14ac:dyDescent="0.15">
      <c r="A45" s="238"/>
      <c r="O45" s="238"/>
    </row>
    <row r="46" spans="1:15" x14ac:dyDescent="0.15">
      <c r="A46" s="238"/>
      <c r="O46" s="238"/>
    </row>
    <row r="47" spans="1:15" x14ac:dyDescent="0.15">
      <c r="A47" s="238"/>
      <c r="O47" s="238"/>
    </row>
    <row r="48" spans="1:15" x14ac:dyDescent="0.15">
      <c r="A48" s="238"/>
      <c r="O48" s="238"/>
    </row>
    <row r="49" spans="1:15" x14ac:dyDescent="0.15">
      <c r="A49" s="238"/>
      <c r="O49" s="238"/>
    </row>
    <row r="50" spans="1:15" x14ac:dyDescent="0.15">
      <c r="A50" s="238"/>
      <c r="O50" s="238"/>
    </row>
    <row r="51" spans="1:15" x14ac:dyDescent="0.15">
      <c r="A51" s="238"/>
      <c r="O51" s="238"/>
    </row>
    <row r="52" spans="1:15" ht="13.5" customHeight="1" x14ac:dyDescent="0.15">
      <c r="A52" s="238"/>
      <c r="O52" s="238"/>
    </row>
    <row r="53" spans="1:15" x14ac:dyDescent="0.15">
      <c r="A53" s="238"/>
      <c r="O53" s="238"/>
    </row>
    <row r="54" spans="1:15" x14ac:dyDescent="0.15">
      <c r="A54" s="238"/>
      <c r="O54" s="238"/>
    </row>
    <row r="55" spans="1:15" ht="39.75" customHeight="1" x14ac:dyDescent="0.15">
      <c r="A55" s="238"/>
      <c r="O55" s="238"/>
    </row>
    <row r="56" spans="1:15" x14ac:dyDescent="0.15">
      <c r="A56" s="238"/>
      <c r="O56" s="238"/>
    </row>
    <row r="57" spans="1:15" ht="13.5" customHeight="1" x14ac:dyDescent="0.15">
      <c r="A57" s="238"/>
      <c r="O57" s="269"/>
    </row>
    <row r="58" spans="1:15" x14ac:dyDescent="0.15">
      <c r="A58" s="238"/>
      <c r="O58" s="269"/>
    </row>
    <row r="59" spans="1:15" x14ac:dyDescent="0.15">
      <c r="A59" s="238"/>
      <c r="O59" s="269"/>
    </row>
    <row r="60" spans="1:15" x14ac:dyDescent="0.15">
      <c r="A60" s="238"/>
      <c r="O60" s="238"/>
    </row>
    <row r="61" spans="1:15" ht="13.5" customHeight="1" x14ac:dyDescent="0.15">
      <c r="A61" s="238"/>
      <c r="O61" s="271"/>
    </row>
    <row r="62" spans="1:15" x14ac:dyDescent="0.15">
      <c r="A62" s="238"/>
      <c r="O62" s="271"/>
    </row>
    <row r="63" spans="1:15" x14ac:dyDescent="0.15">
      <c r="A63" s="238"/>
      <c r="O63" s="271"/>
    </row>
    <row r="64" spans="1:15" x14ac:dyDescent="0.15">
      <c r="A64" s="238"/>
      <c r="O64" s="271"/>
    </row>
    <row r="65" spans="1:16" x14ac:dyDescent="0.15">
      <c r="A65" s="238"/>
      <c r="O65" s="271"/>
    </row>
    <row r="66" spans="1:16" x14ac:dyDescent="0.15">
      <c r="A66" s="238"/>
      <c r="O66" s="238"/>
    </row>
    <row r="67" spans="1:16" x14ac:dyDescent="0.15">
      <c r="A67" s="238"/>
      <c r="O67" s="238"/>
    </row>
    <row r="68" spans="1:16" x14ac:dyDescent="0.15">
      <c r="A68" s="238"/>
      <c r="O68" s="238"/>
    </row>
    <row r="69" spans="1:16" x14ac:dyDescent="0.15">
      <c r="A69" s="238"/>
      <c r="O69" s="238"/>
    </row>
    <row r="70" spans="1:16" x14ac:dyDescent="0.15">
      <c r="A70" s="238"/>
      <c r="O70" s="238"/>
    </row>
    <row r="71" spans="1:16" x14ac:dyDescent="0.15">
      <c r="A71" s="238"/>
      <c r="O71" s="238"/>
    </row>
    <row r="72" spans="1:16" x14ac:dyDescent="0.15">
      <c r="A72" s="238"/>
      <c r="O72" s="238"/>
    </row>
    <row r="73" spans="1:16" x14ac:dyDescent="0.15">
      <c r="A73" s="238"/>
      <c r="O73" s="238"/>
    </row>
    <row r="74" spans="1:16" x14ac:dyDescent="0.15">
      <c r="A74" s="238"/>
      <c r="O74" s="238"/>
    </row>
    <row r="75" spans="1:16" ht="14.25" customHeight="1" x14ac:dyDescent="0.15">
      <c r="A75" s="238"/>
      <c r="O75" s="238"/>
    </row>
    <row r="76" spans="1:16" x14ac:dyDescent="0.15">
      <c r="A76" s="238"/>
      <c r="O76" s="238"/>
    </row>
    <row r="77" spans="1:16" x14ac:dyDescent="0.15">
      <c r="A77" s="238"/>
      <c r="O77" s="274"/>
    </row>
    <row r="78" spans="1:16" x14ac:dyDescent="0.15">
      <c r="A78" s="238"/>
      <c r="O78" s="238"/>
    </row>
    <row r="79" spans="1:16" x14ac:dyDescent="0.15">
      <c r="A79" s="238"/>
      <c r="O79" s="238"/>
    </row>
    <row r="80" spans="1:16" ht="13.5" customHeight="1" x14ac:dyDescent="0.15">
      <c r="A80" s="238"/>
      <c r="O80" s="264"/>
      <c r="P80" s="237"/>
    </row>
    <row r="81" spans="1:16" x14ac:dyDescent="0.15">
      <c r="A81" s="238"/>
      <c r="O81" s="264"/>
      <c r="P81" s="237"/>
    </row>
    <row r="82" spans="1:16" x14ac:dyDescent="0.15">
      <c r="A82" s="238"/>
      <c r="O82" s="264"/>
      <c r="P82" s="237"/>
    </row>
    <row r="83" spans="1:16" x14ac:dyDescent="0.15">
      <c r="A83" s="238"/>
      <c r="O83" s="264"/>
      <c r="P83" s="237"/>
    </row>
    <row r="84" spans="1:16" x14ac:dyDescent="0.15">
      <c r="A84" s="238"/>
      <c r="O84" s="264"/>
      <c r="P84" s="237"/>
    </row>
    <row r="85" spans="1:16" x14ac:dyDescent="0.15">
      <c r="A85" s="238"/>
      <c r="O85" s="238"/>
    </row>
    <row r="86" spans="1:16" x14ac:dyDescent="0.15">
      <c r="A86" s="238"/>
      <c r="O86" s="238"/>
    </row>
    <row r="87" spans="1:16" x14ac:dyDescent="0.15">
      <c r="A87" s="238"/>
      <c r="O87" s="238"/>
    </row>
    <row r="88" spans="1:16" x14ac:dyDescent="0.15">
      <c r="A88" s="238"/>
      <c r="O88" s="238"/>
    </row>
    <row r="89" spans="1:16" x14ac:dyDescent="0.15">
      <c r="A89" s="238"/>
      <c r="O89" s="238"/>
    </row>
    <row r="90" spans="1:16" x14ac:dyDescent="0.15">
      <c r="A90" s="238"/>
      <c r="O90" s="238"/>
    </row>
    <row r="91" spans="1:16" x14ac:dyDescent="0.15">
      <c r="A91" s="238"/>
      <c r="O91" s="238"/>
    </row>
    <row r="92" spans="1:16" x14ac:dyDescent="0.15">
      <c r="A92" s="238"/>
      <c r="O92" s="238"/>
    </row>
    <row r="93" spans="1:16" x14ac:dyDescent="0.15">
      <c r="A93" s="238"/>
      <c r="O93" s="238"/>
    </row>
    <row r="94" spans="1:16" x14ac:dyDescent="0.15">
      <c r="A94" s="238"/>
      <c r="O94" s="238"/>
    </row>
    <row r="95" spans="1:16" x14ac:dyDescent="0.15">
      <c r="A95" s="238"/>
      <c r="O95" s="238"/>
    </row>
    <row r="96" spans="1:16" x14ac:dyDescent="0.15">
      <c r="A96" s="238"/>
      <c r="O96" s="238"/>
    </row>
    <row r="97" spans="1:15" x14ac:dyDescent="0.15">
      <c r="A97" s="238"/>
      <c r="O97" s="238"/>
    </row>
    <row r="98" spans="1:15" x14ac:dyDescent="0.15">
      <c r="A98" s="238"/>
      <c r="O98" s="238"/>
    </row>
    <row r="99" spans="1:15" x14ac:dyDescent="0.15">
      <c r="A99" s="238"/>
      <c r="O99" s="238"/>
    </row>
    <row r="100" spans="1:15" x14ac:dyDescent="0.15">
      <c r="A100" s="238"/>
      <c r="O100" s="238"/>
    </row>
    <row r="101" spans="1:15" ht="13.5" customHeight="1" x14ac:dyDescent="0.15">
      <c r="A101" s="238"/>
      <c r="O101" s="238"/>
    </row>
    <row r="102" spans="1:15" x14ac:dyDescent="0.15">
      <c r="A102" s="238"/>
      <c r="O102" s="238"/>
    </row>
    <row r="103" spans="1:15" x14ac:dyDescent="0.15">
      <c r="A103" s="238"/>
      <c r="O103" s="238"/>
    </row>
    <row r="104" spans="1:15" x14ac:dyDescent="0.15">
      <c r="A104" s="238"/>
      <c r="O104" s="238"/>
    </row>
    <row r="105" spans="1:15" x14ac:dyDescent="0.15">
      <c r="A105" s="238"/>
      <c r="O105" s="238"/>
    </row>
    <row r="106" spans="1:15" x14ac:dyDescent="0.15">
      <c r="A106" s="238"/>
      <c r="O106" s="238"/>
    </row>
    <row r="107" spans="1:15" x14ac:dyDescent="0.15">
      <c r="A107" s="238"/>
      <c r="O107" s="238"/>
    </row>
    <row r="108" spans="1:15" x14ac:dyDescent="0.15">
      <c r="A108" s="238"/>
      <c r="O108" s="238"/>
    </row>
    <row r="109" spans="1:15" x14ac:dyDescent="0.15">
      <c r="A109" s="238"/>
      <c r="O109" s="238"/>
    </row>
    <row r="110" spans="1:15" x14ac:dyDescent="0.15">
      <c r="A110" s="238"/>
      <c r="O110" s="238"/>
    </row>
    <row r="111" spans="1:15" x14ac:dyDescent="0.15">
      <c r="A111" s="238"/>
      <c r="O111" s="238"/>
    </row>
    <row r="112" spans="1:15" x14ac:dyDescent="0.15">
      <c r="A112" s="238"/>
      <c r="O112" s="238"/>
    </row>
    <row r="113" spans="1:15" x14ac:dyDescent="0.15">
      <c r="A113" s="238"/>
      <c r="O113" s="238"/>
    </row>
    <row r="114" spans="1:15" x14ac:dyDescent="0.15">
      <c r="A114" s="238"/>
      <c r="O114" s="238"/>
    </row>
    <row r="115" spans="1:15" x14ac:dyDescent="0.15">
      <c r="A115" s="238"/>
      <c r="O115" s="238"/>
    </row>
    <row r="116" spans="1:15" x14ac:dyDescent="0.15">
      <c r="A116" s="238"/>
      <c r="O116" s="238"/>
    </row>
    <row r="117" spans="1:15" x14ac:dyDescent="0.15">
      <c r="A117" s="238"/>
      <c r="B117" s="238"/>
      <c r="C117" s="238"/>
      <c r="D117" s="238"/>
      <c r="E117" s="238"/>
      <c r="F117" s="238"/>
      <c r="G117" s="238"/>
      <c r="H117" s="238"/>
      <c r="I117" s="238"/>
      <c r="J117" s="238"/>
      <c r="K117" s="238"/>
      <c r="L117" s="238"/>
      <c r="M117" s="238"/>
      <c r="N117" s="238"/>
      <c r="O117" s="238"/>
    </row>
    <row r="118" spans="1:15" x14ac:dyDescent="0.15">
      <c r="A118" s="238"/>
      <c r="B118" s="238"/>
      <c r="C118" s="238"/>
      <c r="D118" s="238"/>
      <c r="E118" s="238"/>
      <c r="F118" s="238"/>
      <c r="G118" s="238"/>
      <c r="H118" s="238"/>
      <c r="I118" s="238"/>
      <c r="J118" s="238"/>
      <c r="K118" s="238"/>
      <c r="L118" s="238"/>
      <c r="M118" s="238"/>
      <c r="N118" s="238"/>
      <c r="O118" s="238"/>
    </row>
    <row r="119" spans="1:15" x14ac:dyDescent="0.15">
      <c r="A119" s="238"/>
      <c r="B119" s="238"/>
      <c r="C119" s="238"/>
      <c r="D119" s="238"/>
      <c r="E119" s="238"/>
      <c r="F119" s="238"/>
      <c r="G119" s="238"/>
      <c r="H119" s="238"/>
      <c r="I119" s="238"/>
      <c r="J119" s="238"/>
      <c r="K119" s="238"/>
      <c r="L119" s="238"/>
      <c r="M119" s="238"/>
      <c r="N119" s="238"/>
      <c r="O119" s="238"/>
    </row>
    <row r="120" spans="1:15" x14ac:dyDescent="0.15">
      <c r="A120" s="238"/>
      <c r="B120" s="238"/>
      <c r="C120" s="238"/>
      <c r="D120" s="238"/>
      <c r="E120" s="238"/>
      <c r="F120" s="238"/>
      <c r="G120" s="238"/>
      <c r="H120" s="238"/>
      <c r="I120" s="238"/>
      <c r="J120" s="238"/>
      <c r="K120" s="238"/>
      <c r="L120" s="238"/>
      <c r="M120" s="238"/>
      <c r="N120" s="238"/>
      <c r="O120" s="238"/>
    </row>
  </sheetData>
  <mergeCells count="5">
    <mergeCell ref="B8:H9"/>
    <mergeCell ref="B12:J13"/>
    <mergeCell ref="B3:M3"/>
    <mergeCell ref="B5:M5"/>
    <mergeCell ref="B4:C4"/>
  </mergeCells>
  <phoneticPr fontId="3"/>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pageSetUpPr fitToPage="1"/>
  </sheetPr>
  <dimension ref="B2:S109"/>
  <sheetViews>
    <sheetView showGridLines="0" topLeftCell="A86" zoomScale="95" zoomScaleNormal="95" workbookViewId="0">
      <selection sqref="A1:P104"/>
    </sheetView>
  </sheetViews>
  <sheetFormatPr defaultRowHeight="13.5" x14ac:dyDescent="0.15"/>
  <cols>
    <col min="1" max="1" width="4.625" customWidth="1"/>
  </cols>
  <sheetData>
    <row r="2" spans="2:14" ht="18.75" x14ac:dyDescent="0.15">
      <c r="B2" s="266" t="s">
        <v>130</v>
      </c>
    </row>
    <row r="3" spans="2:14" ht="18.75" x14ac:dyDescent="0.15">
      <c r="B3" s="266"/>
    </row>
    <row r="4" spans="2:14" x14ac:dyDescent="0.15">
      <c r="B4" s="238" t="s">
        <v>132</v>
      </c>
      <c r="C4" s="238"/>
      <c r="D4" s="238"/>
      <c r="E4" s="238"/>
      <c r="F4" s="238"/>
      <c r="G4" s="238"/>
      <c r="H4" s="238"/>
      <c r="I4" s="238"/>
      <c r="J4" s="238"/>
      <c r="K4" s="238"/>
      <c r="L4" s="238"/>
      <c r="M4" s="238"/>
      <c r="N4" s="238"/>
    </row>
    <row r="5" spans="2:14" x14ac:dyDescent="0.15">
      <c r="B5" s="238"/>
      <c r="C5" s="238"/>
      <c r="D5" s="238"/>
      <c r="E5" s="238"/>
      <c r="F5" s="238"/>
      <c r="G5" s="238"/>
      <c r="H5" s="238"/>
      <c r="I5" s="238"/>
      <c r="J5" s="238"/>
      <c r="K5" s="238"/>
      <c r="L5" s="238"/>
      <c r="M5" s="238"/>
      <c r="N5" s="238"/>
    </row>
    <row r="6" spans="2:14" x14ac:dyDescent="0.15">
      <c r="B6" s="238" t="s">
        <v>133</v>
      </c>
      <c r="C6" s="238"/>
      <c r="D6" s="238"/>
      <c r="E6" s="238"/>
      <c r="F6" s="238"/>
      <c r="G6" s="238"/>
      <c r="H6" s="238"/>
      <c r="I6" s="238"/>
      <c r="J6" s="238"/>
      <c r="K6" s="238"/>
      <c r="L6" s="238"/>
      <c r="M6" s="238"/>
      <c r="N6" s="238"/>
    </row>
    <row r="7" spans="2:14" x14ac:dyDescent="0.15">
      <c r="B7" s="238" t="s">
        <v>134</v>
      </c>
      <c r="C7" s="238"/>
      <c r="D7" s="238"/>
      <c r="E7" s="238"/>
      <c r="F7" s="238"/>
      <c r="G7" s="238"/>
      <c r="H7" s="238"/>
      <c r="I7" s="238"/>
      <c r="J7" s="238"/>
      <c r="K7" s="238"/>
      <c r="L7" s="238"/>
      <c r="M7" s="238"/>
      <c r="N7" s="238"/>
    </row>
    <row r="8" spans="2:14" x14ac:dyDescent="0.15">
      <c r="B8" s="238" t="s">
        <v>135</v>
      </c>
      <c r="C8" s="238"/>
      <c r="D8" s="238"/>
      <c r="E8" s="238"/>
      <c r="F8" s="238"/>
      <c r="G8" s="238"/>
      <c r="H8" s="238"/>
      <c r="I8" s="238"/>
      <c r="J8" s="238"/>
      <c r="K8" s="238"/>
      <c r="L8" s="238"/>
      <c r="M8" s="238"/>
      <c r="N8" s="238"/>
    </row>
    <row r="9" spans="2:14" x14ac:dyDescent="0.15">
      <c r="B9" s="238" t="s">
        <v>136</v>
      </c>
      <c r="C9" s="238"/>
      <c r="D9" s="238"/>
      <c r="E9" s="238"/>
      <c r="F9" s="238"/>
      <c r="G9" s="238"/>
      <c r="H9" s="238"/>
      <c r="I9" s="238"/>
      <c r="J9" s="238"/>
      <c r="K9" s="238"/>
      <c r="L9" s="238"/>
      <c r="M9" s="238"/>
      <c r="N9" s="238"/>
    </row>
    <row r="10" spans="2:14" x14ac:dyDescent="0.15">
      <c r="B10" s="238" t="s">
        <v>137</v>
      </c>
      <c r="C10" s="238"/>
      <c r="D10" s="238"/>
      <c r="E10" s="238"/>
      <c r="F10" s="238"/>
      <c r="G10" s="238"/>
      <c r="H10" s="238"/>
      <c r="I10" s="238"/>
      <c r="J10" s="238"/>
      <c r="K10" s="238"/>
      <c r="L10" s="238"/>
      <c r="M10" s="238"/>
      <c r="N10" s="238"/>
    </row>
    <row r="11" spans="2:14" x14ac:dyDescent="0.15">
      <c r="B11" s="238"/>
      <c r="C11" s="238"/>
      <c r="D11" s="238"/>
      <c r="E11" s="238"/>
      <c r="F11" s="238"/>
      <c r="G11" s="238"/>
      <c r="H11" s="238"/>
      <c r="I11" s="238"/>
      <c r="J11" s="238"/>
      <c r="K11" s="238"/>
      <c r="L11" s="238"/>
      <c r="M11" s="238"/>
      <c r="N11" s="238"/>
    </row>
    <row r="12" spans="2:14" x14ac:dyDescent="0.15">
      <c r="B12" s="238" t="s">
        <v>138</v>
      </c>
      <c r="C12" s="238"/>
      <c r="D12" s="238"/>
      <c r="E12" s="238"/>
      <c r="F12" s="238"/>
      <c r="G12" s="238"/>
      <c r="H12" s="238"/>
      <c r="I12" s="238"/>
      <c r="J12" s="238"/>
      <c r="K12" s="238"/>
      <c r="L12" s="238"/>
      <c r="M12" s="238"/>
      <c r="N12" s="238"/>
    </row>
    <row r="13" spans="2:14" x14ac:dyDescent="0.15">
      <c r="B13" s="238" t="s">
        <v>139</v>
      </c>
      <c r="C13" s="238"/>
      <c r="D13" s="238"/>
      <c r="E13" s="238"/>
      <c r="F13" s="238"/>
      <c r="G13" s="238"/>
      <c r="H13" s="238"/>
      <c r="I13" s="238"/>
      <c r="J13" s="238"/>
      <c r="K13" s="238"/>
      <c r="L13" s="238"/>
      <c r="M13" s="238"/>
      <c r="N13" s="238"/>
    </row>
    <row r="14" spans="2:14" x14ac:dyDescent="0.15">
      <c r="B14" s="238" t="s">
        <v>140</v>
      </c>
      <c r="C14" s="238"/>
      <c r="D14" s="238"/>
      <c r="E14" s="238"/>
      <c r="F14" s="238"/>
      <c r="G14" s="238"/>
      <c r="H14" s="238"/>
      <c r="I14" s="238"/>
      <c r="J14" s="238"/>
      <c r="K14" s="238"/>
      <c r="L14" s="238"/>
      <c r="M14" s="238"/>
      <c r="N14" s="238"/>
    </row>
    <row r="15" spans="2:14" x14ac:dyDescent="0.15">
      <c r="B15" s="238" t="s">
        <v>141</v>
      </c>
      <c r="C15" s="238"/>
      <c r="D15" s="238"/>
      <c r="E15" s="238"/>
      <c r="F15" s="238"/>
      <c r="G15" s="238"/>
      <c r="H15" s="238"/>
      <c r="I15" s="238"/>
      <c r="J15" s="238"/>
      <c r="K15" s="238"/>
      <c r="L15" s="238"/>
      <c r="M15" s="238"/>
      <c r="N15" s="238"/>
    </row>
    <row r="16" spans="2:14" x14ac:dyDescent="0.15">
      <c r="B16" s="238"/>
      <c r="C16" s="238"/>
      <c r="D16" s="238"/>
      <c r="E16" s="238"/>
      <c r="F16" s="238"/>
      <c r="G16" s="238"/>
      <c r="H16" s="238"/>
      <c r="I16" s="238"/>
      <c r="J16" s="238"/>
      <c r="K16" s="238"/>
      <c r="L16" s="238"/>
      <c r="M16" s="238"/>
      <c r="N16" s="238"/>
    </row>
    <row r="17" spans="2:14" x14ac:dyDescent="0.15">
      <c r="B17" s="238" t="s">
        <v>142</v>
      </c>
      <c r="C17" s="238"/>
      <c r="D17" s="238"/>
      <c r="E17" s="238"/>
      <c r="F17" s="238"/>
      <c r="G17" s="238"/>
      <c r="H17" s="238"/>
      <c r="I17" s="238"/>
      <c r="J17" s="238"/>
      <c r="K17" s="238"/>
      <c r="L17" s="238"/>
      <c r="M17" s="238"/>
      <c r="N17" s="238"/>
    </row>
    <row r="18" spans="2:14" x14ac:dyDescent="0.15">
      <c r="B18" s="238"/>
      <c r="C18" s="238"/>
      <c r="D18" s="238"/>
      <c r="E18" s="238"/>
      <c r="F18" s="238"/>
      <c r="G18" s="238"/>
      <c r="H18" s="238"/>
      <c r="I18" s="238"/>
      <c r="J18" s="238"/>
      <c r="K18" s="238"/>
      <c r="L18" s="238"/>
      <c r="M18" s="238"/>
      <c r="N18" s="238"/>
    </row>
    <row r="19" spans="2:14" x14ac:dyDescent="0.15">
      <c r="B19" s="267" t="s">
        <v>131</v>
      </c>
      <c r="C19" s="238"/>
      <c r="D19" s="238"/>
      <c r="E19" s="238"/>
      <c r="F19" s="238"/>
      <c r="G19" s="238"/>
      <c r="H19" s="238"/>
      <c r="I19" s="238"/>
      <c r="J19" s="238"/>
      <c r="K19" s="238"/>
      <c r="L19" s="238"/>
      <c r="M19" s="238"/>
      <c r="N19" s="238"/>
    </row>
    <row r="20" spans="2:14" x14ac:dyDescent="0.15">
      <c r="B20" s="238"/>
      <c r="C20" s="238"/>
      <c r="D20" s="238"/>
      <c r="E20" s="238"/>
      <c r="F20" s="238"/>
      <c r="G20" s="238"/>
      <c r="H20" s="238"/>
      <c r="I20" s="238"/>
      <c r="J20" s="238"/>
      <c r="K20" s="238"/>
      <c r="L20" s="238"/>
      <c r="M20" s="238"/>
      <c r="N20" s="238"/>
    </row>
    <row r="21" spans="2:14" x14ac:dyDescent="0.15">
      <c r="B21" s="238"/>
      <c r="C21" s="238"/>
      <c r="D21" s="238"/>
      <c r="E21" s="238"/>
      <c r="F21" s="238"/>
      <c r="G21" s="238"/>
      <c r="H21" s="238"/>
      <c r="I21" s="238"/>
      <c r="J21" s="238"/>
      <c r="K21" s="238"/>
      <c r="L21" s="238"/>
      <c r="M21" s="238"/>
      <c r="N21" s="238"/>
    </row>
    <row r="22" spans="2:14" x14ac:dyDescent="0.15">
      <c r="B22" s="238"/>
      <c r="C22" s="238"/>
      <c r="D22" s="238"/>
      <c r="E22" s="238"/>
      <c r="F22" s="238"/>
      <c r="G22" s="238"/>
      <c r="H22" s="238"/>
      <c r="I22" s="238"/>
      <c r="J22" s="238"/>
      <c r="K22" s="238"/>
      <c r="L22" s="238"/>
      <c r="M22" s="238"/>
      <c r="N22" s="238"/>
    </row>
    <row r="23" spans="2:14" x14ac:dyDescent="0.15">
      <c r="B23" s="238"/>
      <c r="C23" s="238"/>
      <c r="D23" s="238"/>
      <c r="E23" s="238"/>
      <c r="F23" s="238"/>
      <c r="G23" s="238"/>
      <c r="H23" s="238"/>
      <c r="I23" s="238"/>
      <c r="J23" s="238"/>
      <c r="K23" s="238"/>
      <c r="L23" s="238"/>
      <c r="M23" s="238"/>
      <c r="N23" s="238"/>
    </row>
    <row r="24" spans="2:14" x14ac:dyDescent="0.15">
      <c r="B24" s="238"/>
      <c r="C24" s="238"/>
      <c r="D24" s="238"/>
      <c r="E24" s="238"/>
      <c r="F24" s="238"/>
      <c r="G24" s="238"/>
      <c r="H24" s="238"/>
      <c r="I24" s="238"/>
      <c r="J24" s="238"/>
      <c r="K24" s="238"/>
      <c r="L24" s="238"/>
      <c r="M24" s="238"/>
      <c r="N24" s="238"/>
    </row>
    <row r="25" spans="2:14" x14ac:dyDescent="0.15">
      <c r="B25" s="238"/>
      <c r="C25" s="238"/>
      <c r="D25" s="238"/>
      <c r="E25" s="238"/>
      <c r="F25" s="238"/>
      <c r="G25" s="238"/>
      <c r="H25" s="238"/>
      <c r="I25" s="238"/>
      <c r="J25" s="238"/>
      <c r="K25" s="238"/>
      <c r="L25" s="238"/>
      <c r="M25" s="238"/>
      <c r="N25" s="238"/>
    </row>
    <row r="26" spans="2:14" x14ac:dyDescent="0.15">
      <c r="B26" s="238"/>
      <c r="C26" s="238"/>
      <c r="D26" s="238"/>
      <c r="E26" s="238"/>
      <c r="F26" s="238"/>
      <c r="G26" s="238"/>
      <c r="H26" s="238"/>
      <c r="I26" s="238"/>
      <c r="J26" s="238"/>
      <c r="K26" s="238"/>
      <c r="L26" s="238"/>
      <c r="M26" s="238"/>
      <c r="N26" s="238"/>
    </row>
    <row r="27" spans="2:14" x14ac:dyDescent="0.15">
      <c r="B27" s="238"/>
      <c r="C27" s="238"/>
      <c r="D27" s="238"/>
      <c r="E27" s="238"/>
      <c r="F27" s="238"/>
      <c r="G27" s="238"/>
      <c r="H27" s="238"/>
      <c r="I27" s="238"/>
      <c r="J27" s="238"/>
      <c r="K27" s="238"/>
      <c r="L27" s="238"/>
      <c r="M27" s="238"/>
      <c r="N27" s="238"/>
    </row>
    <row r="28" spans="2:14" x14ac:dyDescent="0.15">
      <c r="B28" s="238"/>
      <c r="C28" s="238"/>
      <c r="D28" s="238"/>
      <c r="E28" s="238"/>
      <c r="F28" s="238"/>
      <c r="G28" s="238"/>
      <c r="H28" s="238"/>
      <c r="I28" s="238"/>
      <c r="J28" s="238"/>
      <c r="K28" s="238"/>
      <c r="L28" s="238"/>
      <c r="M28" s="238"/>
      <c r="N28" s="238"/>
    </row>
    <row r="29" spans="2:14" x14ac:dyDescent="0.15">
      <c r="B29" s="238"/>
      <c r="C29" s="238"/>
      <c r="D29" s="238"/>
      <c r="E29" s="238"/>
      <c r="F29" s="238"/>
      <c r="G29" s="238"/>
      <c r="H29" s="238"/>
      <c r="I29" s="238"/>
      <c r="J29" s="238"/>
      <c r="K29" s="238"/>
      <c r="L29" s="238"/>
      <c r="M29" s="238"/>
      <c r="N29" s="238"/>
    </row>
    <row r="30" spans="2:14" x14ac:dyDescent="0.15">
      <c r="B30" s="238"/>
      <c r="C30" s="238"/>
      <c r="D30" s="238"/>
      <c r="E30" s="238"/>
      <c r="F30" s="238"/>
      <c r="G30" s="238"/>
      <c r="H30" s="238"/>
      <c r="I30" s="238"/>
      <c r="J30" s="238"/>
      <c r="K30" s="238"/>
      <c r="L30" s="238"/>
      <c r="M30" s="238"/>
      <c r="N30" s="238"/>
    </row>
    <row r="31" spans="2:14" x14ac:dyDescent="0.15">
      <c r="B31" s="238"/>
      <c r="C31" s="238"/>
      <c r="D31" s="238"/>
      <c r="E31" s="238"/>
      <c r="F31" s="238"/>
      <c r="G31" s="238"/>
      <c r="H31" s="238"/>
      <c r="I31" s="238"/>
      <c r="J31" s="238"/>
      <c r="K31" s="238"/>
      <c r="L31" s="238"/>
      <c r="M31" s="238"/>
      <c r="N31" s="238"/>
    </row>
    <row r="32" spans="2:14" x14ac:dyDescent="0.15">
      <c r="B32" s="238"/>
      <c r="C32" s="238"/>
      <c r="D32" s="238"/>
      <c r="E32" s="238"/>
      <c r="F32" s="238"/>
      <c r="G32" s="238"/>
      <c r="H32" s="238"/>
      <c r="I32" s="238"/>
      <c r="J32" s="238"/>
      <c r="K32" s="238"/>
      <c r="L32" s="238"/>
      <c r="M32" s="238"/>
      <c r="N32" s="238"/>
    </row>
    <row r="33" spans="2:14" x14ac:dyDescent="0.15">
      <c r="B33" s="268" t="s">
        <v>124</v>
      </c>
      <c r="C33" s="238"/>
      <c r="D33" s="238"/>
      <c r="E33" s="238"/>
      <c r="F33" s="238"/>
      <c r="G33" s="238"/>
      <c r="H33" s="238"/>
      <c r="I33" s="238"/>
      <c r="J33" s="238"/>
      <c r="K33" s="238"/>
      <c r="L33" s="238"/>
      <c r="M33" s="238"/>
      <c r="N33" s="238"/>
    </row>
    <row r="34" spans="2:14" x14ac:dyDescent="0.15">
      <c r="B34" s="238"/>
      <c r="C34" s="238"/>
      <c r="D34" s="238"/>
      <c r="E34" s="238"/>
      <c r="F34" s="238"/>
      <c r="G34" s="238"/>
      <c r="H34" s="238"/>
      <c r="I34" s="238"/>
      <c r="J34" s="238"/>
      <c r="K34" s="238"/>
      <c r="L34" s="238"/>
      <c r="M34" s="238"/>
      <c r="N34" s="238"/>
    </row>
    <row r="35" spans="2:14" x14ac:dyDescent="0.15">
      <c r="B35" s="238"/>
      <c r="C35" s="238"/>
      <c r="D35" s="238"/>
      <c r="E35" s="238"/>
      <c r="F35" s="238"/>
      <c r="G35" s="238"/>
      <c r="H35" s="238"/>
      <c r="I35" s="238"/>
      <c r="J35" s="238"/>
      <c r="K35" s="238"/>
      <c r="L35" s="238"/>
      <c r="M35" s="238"/>
      <c r="N35" s="238"/>
    </row>
    <row r="36" spans="2:14" x14ac:dyDescent="0.15">
      <c r="B36" s="238"/>
      <c r="C36" s="238"/>
      <c r="D36" s="238"/>
      <c r="E36" s="238"/>
      <c r="F36" s="238"/>
      <c r="G36" s="238"/>
      <c r="H36" s="238"/>
      <c r="I36" s="238"/>
      <c r="J36" s="238"/>
      <c r="K36" s="238"/>
      <c r="L36" s="238"/>
      <c r="M36" s="238"/>
      <c r="N36" s="238"/>
    </row>
    <row r="37" spans="2:14" x14ac:dyDescent="0.15">
      <c r="B37" s="238"/>
      <c r="C37" s="238"/>
      <c r="D37" s="238"/>
      <c r="E37" s="238"/>
      <c r="F37" s="238"/>
      <c r="G37" s="238"/>
      <c r="H37" s="238"/>
      <c r="I37" s="238"/>
      <c r="J37" s="238"/>
      <c r="K37" s="238"/>
      <c r="L37" s="238"/>
      <c r="M37" s="238"/>
      <c r="N37" s="238"/>
    </row>
    <row r="38" spans="2:14" x14ac:dyDescent="0.15">
      <c r="B38" s="238"/>
      <c r="C38" s="238"/>
      <c r="D38" s="238"/>
      <c r="E38" s="238"/>
      <c r="F38" s="238"/>
      <c r="G38" s="238"/>
      <c r="H38" s="238"/>
      <c r="I38" s="238"/>
      <c r="J38" s="238"/>
      <c r="K38" s="238"/>
      <c r="L38" s="238"/>
      <c r="M38" s="238"/>
      <c r="N38" s="238"/>
    </row>
    <row r="39" spans="2:14" x14ac:dyDescent="0.15">
      <c r="B39" s="238"/>
      <c r="C39" s="238"/>
      <c r="D39" s="238"/>
      <c r="E39" s="238"/>
      <c r="F39" s="238"/>
      <c r="G39" s="238"/>
      <c r="H39" s="238"/>
      <c r="I39" s="238"/>
      <c r="J39" s="238"/>
      <c r="K39" s="238"/>
      <c r="L39" s="238"/>
      <c r="M39" s="238"/>
      <c r="N39" s="238"/>
    </row>
    <row r="40" spans="2:14" x14ac:dyDescent="0.15">
      <c r="B40" s="238"/>
      <c r="C40" s="238"/>
      <c r="D40" s="238"/>
      <c r="E40" s="238"/>
      <c r="F40" s="238"/>
      <c r="G40" s="238"/>
      <c r="H40" s="238"/>
      <c r="I40" s="238"/>
      <c r="J40" s="238"/>
      <c r="K40" s="238"/>
      <c r="L40" s="238"/>
      <c r="M40" s="238"/>
      <c r="N40" s="238"/>
    </row>
    <row r="41" spans="2:14" x14ac:dyDescent="0.15">
      <c r="B41" s="238"/>
      <c r="C41" s="238"/>
      <c r="D41" s="238"/>
      <c r="E41" s="238"/>
      <c r="F41" s="238"/>
      <c r="G41" s="238"/>
      <c r="H41" s="238"/>
      <c r="I41" s="238"/>
      <c r="J41" s="238"/>
      <c r="K41" s="238"/>
      <c r="L41" s="238"/>
      <c r="M41" s="238"/>
      <c r="N41" s="238"/>
    </row>
    <row r="42" spans="2:14" x14ac:dyDescent="0.15">
      <c r="B42" s="238"/>
      <c r="C42" s="238"/>
      <c r="D42" s="238"/>
      <c r="E42" s="238"/>
      <c r="F42" s="238"/>
      <c r="G42" s="238"/>
      <c r="H42" s="238"/>
      <c r="I42" s="238"/>
      <c r="J42" s="238"/>
      <c r="K42" s="238"/>
      <c r="L42" s="238"/>
      <c r="M42" s="238"/>
      <c r="N42" s="238"/>
    </row>
    <row r="43" spans="2:14" x14ac:dyDescent="0.15">
      <c r="B43" s="238"/>
      <c r="C43" s="238"/>
      <c r="D43" s="238"/>
      <c r="E43" s="238"/>
      <c r="F43" s="238"/>
      <c r="G43" s="238"/>
      <c r="H43" s="238"/>
      <c r="I43" s="238"/>
      <c r="J43" s="238"/>
      <c r="K43" s="238"/>
      <c r="L43" s="238"/>
      <c r="M43" s="238"/>
      <c r="N43" s="238"/>
    </row>
    <row r="44" spans="2:14" x14ac:dyDescent="0.15">
      <c r="B44" s="238"/>
      <c r="C44" s="238"/>
      <c r="D44" s="238"/>
      <c r="E44" s="238"/>
      <c r="F44" s="238"/>
      <c r="G44" s="238"/>
      <c r="H44" s="238"/>
      <c r="I44" s="238"/>
      <c r="J44" s="238"/>
      <c r="K44" s="238"/>
      <c r="L44" s="238"/>
      <c r="M44" s="238"/>
      <c r="N44" s="238"/>
    </row>
    <row r="45" spans="2:14" x14ac:dyDescent="0.15">
      <c r="B45" s="238"/>
      <c r="C45" s="238"/>
      <c r="D45" s="238"/>
      <c r="E45" s="238"/>
      <c r="F45" s="238"/>
      <c r="G45" s="238"/>
      <c r="H45" s="238"/>
      <c r="I45" s="314" t="s">
        <v>117</v>
      </c>
      <c r="J45" s="314"/>
      <c r="K45" s="314"/>
      <c r="L45" s="314"/>
      <c r="M45" s="314"/>
      <c r="N45" s="238"/>
    </row>
    <row r="46" spans="2:14" x14ac:dyDescent="0.15">
      <c r="B46" s="238"/>
      <c r="C46" s="238"/>
      <c r="D46" s="238"/>
      <c r="E46" s="238"/>
      <c r="F46" s="238"/>
      <c r="G46" s="238"/>
      <c r="H46" s="238"/>
      <c r="I46" s="314"/>
      <c r="J46" s="314"/>
      <c r="K46" s="314"/>
      <c r="L46" s="314"/>
      <c r="M46" s="314"/>
      <c r="N46" s="238"/>
    </row>
    <row r="47" spans="2:14" x14ac:dyDescent="0.15">
      <c r="B47" s="238"/>
      <c r="C47" s="238"/>
      <c r="D47" s="238"/>
      <c r="E47" s="238"/>
      <c r="F47" s="238"/>
      <c r="G47" s="238"/>
      <c r="H47" s="238"/>
      <c r="I47" s="314"/>
      <c r="J47" s="314"/>
      <c r="K47" s="314"/>
      <c r="L47" s="314"/>
      <c r="M47" s="314"/>
      <c r="N47" s="238"/>
    </row>
    <row r="48" spans="2:14" x14ac:dyDescent="0.15">
      <c r="B48" s="238"/>
      <c r="C48" s="238"/>
      <c r="D48" s="238"/>
      <c r="E48" s="238"/>
      <c r="F48" s="238"/>
      <c r="G48" s="238"/>
      <c r="H48" s="238"/>
      <c r="N48" s="238"/>
    </row>
    <row r="49" spans="2:14" x14ac:dyDescent="0.15">
      <c r="B49" s="238"/>
      <c r="C49" s="238"/>
      <c r="D49" s="238"/>
      <c r="E49" s="238"/>
      <c r="F49" s="238"/>
      <c r="G49" s="238"/>
      <c r="H49" s="238"/>
      <c r="I49" s="238"/>
      <c r="J49" s="238"/>
      <c r="K49" s="238"/>
      <c r="L49" s="238"/>
      <c r="M49" s="238"/>
      <c r="N49" s="238"/>
    </row>
    <row r="50" spans="2:14" x14ac:dyDescent="0.15">
      <c r="B50" s="238"/>
      <c r="C50" s="238"/>
      <c r="D50" s="238"/>
      <c r="E50" s="238"/>
      <c r="F50" s="238"/>
      <c r="G50" s="238"/>
      <c r="I50" s="276"/>
      <c r="J50" s="276"/>
      <c r="K50" s="276"/>
      <c r="L50" s="276"/>
      <c r="M50" s="276"/>
      <c r="N50" s="276"/>
    </row>
    <row r="51" spans="2:14" x14ac:dyDescent="0.15">
      <c r="B51" s="238"/>
      <c r="C51" s="238"/>
      <c r="D51" s="238"/>
      <c r="E51" s="238"/>
      <c r="F51" s="238"/>
      <c r="G51" s="238"/>
      <c r="H51" s="276"/>
      <c r="I51" s="276"/>
      <c r="J51" s="276"/>
      <c r="K51" s="276"/>
      <c r="L51" s="276"/>
      <c r="M51" s="276"/>
      <c r="N51" s="276"/>
    </row>
    <row r="52" spans="2:14" x14ac:dyDescent="0.15">
      <c r="B52" s="238"/>
      <c r="C52" s="238"/>
      <c r="D52" s="238"/>
      <c r="E52" s="238"/>
      <c r="F52" s="238"/>
      <c r="G52" s="238"/>
      <c r="H52" s="276"/>
      <c r="I52" s="276"/>
      <c r="J52" s="276"/>
      <c r="K52" s="276"/>
      <c r="L52" s="276"/>
      <c r="M52" s="276"/>
      <c r="N52" s="276"/>
    </row>
    <row r="53" spans="2:14" x14ac:dyDescent="0.15">
      <c r="B53" s="238"/>
      <c r="C53" s="238"/>
      <c r="D53" s="238"/>
      <c r="E53" s="238"/>
      <c r="F53" s="238"/>
      <c r="G53" s="238"/>
      <c r="H53" s="265"/>
      <c r="I53" s="265"/>
      <c r="J53" s="265"/>
      <c r="K53" s="265"/>
      <c r="L53" s="265"/>
      <c r="M53" s="238"/>
      <c r="N53" s="238"/>
    </row>
    <row r="54" spans="2:14" ht="13.5" customHeight="1" x14ac:dyDescent="0.15">
      <c r="B54" s="238"/>
      <c r="C54" s="238"/>
      <c r="D54" s="238"/>
      <c r="E54" s="238"/>
      <c r="F54" s="238"/>
      <c r="G54" s="270" t="s">
        <v>118</v>
      </c>
      <c r="H54" s="315" t="s">
        <v>119</v>
      </c>
      <c r="I54" s="315"/>
      <c r="J54" s="315"/>
      <c r="K54" s="315"/>
      <c r="L54" s="315"/>
      <c r="M54" s="315"/>
    </row>
    <row r="55" spans="2:14" x14ac:dyDescent="0.15">
      <c r="B55" s="238"/>
      <c r="C55" s="238"/>
      <c r="D55" s="238"/>
      <c r="E55" s="238"/>
      <c r="F55" s="238"/>
      <c r="G55" s="238"/>
      <c r="H55" s="315"/>
      <c r="I55" s="315"/>
      <c r="J55" s="315"/>
      <c r="K55" s="315"/>
      <c r="L55" s="315"/>
      <c r="M55" s="315"/>
    </row>
    <row r="56" spans="2:14" x14ac:dyDescent="0.15">
      <c r="B56" s="238"/>
      <c r="C56" s="238"/>
      <c r="D56" s="238"/>
      <c r="E56" s="238"/>
      <c r="F56" s="238"/>
      <c r="G56" s="238"/>
      <c r="H56" s="315"/>
      <c r="I56" s="315"/>
      <c r="J56" s="315"/>
      <c r="K56" s="315"/>
      <c r="L56" s="315"/>
      <c r="M56" s="315"/>
    </row>
    <row r="57" spans="2:14" x14ac:dyDescent="0.15">
      <c r="B57" s="238"/>
      <c r="C57" s="238"/>
      <c r="D57" s="238"/>
      <c r="E57" s="238"/>
      <c r="F57" s="238"/>
      <c r="G57" s="238"/>
      <c r="H57" s="315"/>
      <c r="I57" s="315"/>
      <c r="J57" s="315"/>
      <c r="K57" s="315"/>
      <c r="L57" s="315"/>
      <c r="M57" s="315"/>
    </row>
    <row r="58" spans="2:14" x14ac:dyDescent="0.15">
      <c r="B58" s="238"/>
      <c r="C58" s="238"/>
      <c r="D58" s="238"/>
      <c r="E58" s="238"/>
      <c r="F58" s="238"/>
      <c r="G58" s="238"/>
      <c r="H58" s="315"/>
      <c r="I58" s="315"/>
      <c r="J58" s="315"/>
      <c r="K58" s="315"/>
      <c r="L58" s="315"/>
      <c r="M58" s="315"/>
    </row>
    <row r="59" spans="2:14" x14ac:dyDescent="0.15">
      <c r="B59" s="238"/>
      <c r="C59" s="238"/>
      <c r="D59" s="238"/>
      <c r="E59" s="238"/>
      <c r="F59" s="238"/>
      <c r="G59" s="238"/>
      <c r="H59" s="315"/>
      <c r="I59" s="315"/>
      <c r="J59" s="315"/>
      <c r="K59" s="315"/>
      <c r="L59" s="315"/>
      <c r="M59" s="315"/>
    </row>
    <row r="60" spans="2:14" x14ac:dyDescent="0.15">
      <c r="B60" s="238"/>
      <c r="C60" s="238"/>
      <c r="D60" s="238"/>
      <c r="E60" s="238"/>
      <c r="F60" s="238"/>
      <c r="G60" s="238"/>
      <c r="H60" s="273"/>
      <c r="I60" s="272"/>
      <c r="J60" s="272"/>
      <c r="K60" s="272"/>
      <c r="L60" s="272"/>
      <c r="M60" s="238"/>
      <c r="N60" s="238"/>
    </row>
    <row r="61" spans="2:14" x14ac:dyDescent="0.15">
      <c r="B61" s="238"/>
      <c r="C61" s="238"/>
      <c r="D61" s="238"/>
      <c r="E61" s="238"/>
      <c r="F61" s="238"/>
      <c r="G61" s="238" t="s">
        <v>120</v>
      </c>
      <c r="H61" s="238"/>
      <c r="I61" s="238"/>
      <c r="J61" s="238"/>
      <c r="K61" s="238"/>
      <c r="L61" s="238"/>
      <c r="M61" s="238"/>
      <c r="N61" s="238"/>
    </row>
    <row r="62" spans="2:14" x14ac:dyDescent="0.15">
      <c r="B62" s="238"/>
      <c r="C62" s="238"/>
      <c r="D62" s="238"/>
      <c r="E62" s="238"/>
      <c r="F62" s="238"/>
      <c r="G62" s="238"/>
      <c r="H62" s="238"/>
      <c r="I62" s="238"/>
      <c r="J62" s="238"/>
      <c r="K62" s="238"/>
      <c r="L62" s="238"/>
      <c r="M62" s="238"/>
      <c r="N62" s="238"/>
    </row>
    <row r="63" spans="2:14" x14ac:dyDescent="0.15">
      <c r="B63" s="238"/>
      <c r="C63" s="238"/>
      <c r="D63" s="238"/>
      <c r="E63" s="238"/>
      <c r="F63" s="238"/>
      <c r="G63" s="238" t="s">
        <v>143</v>
      </c>
      <c r="H63" s="238"/>
      <c r="I63" s="238"/>
      <c r="J63" s="238"/>
      <c r="K63" s="238"/>
      <c r="L63" s="238"/>
      <c r="M63" s="238"/>
      <c r="N63" s="238"/>
    </row>
    <row r="64" spans="2:14" x14ac:dyDescent="0.15">
      <c r="B64" s="238"/>
      <c r="C64" s="238"/>
      <c r="D64" s="238"/>
      <c r="E64" s="238"/>
      <c r="F64" s="238"/>
      <c r="G64" s="238" t="s">
        <v>144</v>
      </c>
      <c r="H64" s="238"/>
      <c r="I64" s="238"/>
      <c r="J64" s="238"/>
      <c r="K64" s="238"/>
      <c r="L64" s="238"/>
      <c r="M64" s="238"/>
      <c r="N64" s="238"/>
    </row>
    <row r="65" spans="2:19" x14ac:dyDescent="0.15">
      <c r="B65" s="238"/>
      <c r="C65" s="238"/>
      <c r="D65" s="238"/>
      <c r="E65" s="238"/>
      <c r="F65" s="238"/>
      <c r="G65" s="238"/>
      <c r="H65" s="238"/>
      <c r="I65" s="238"/>
      <c r="J65" s="238"/>
      <c r="K65" s="238"/>
      <c r="L65" s="238"/>
      <c r="M65" s="238"/>
      <c r="N65" s="238"/>
    </row>
    <row r="66" spans="2:19" x14ac:dyDescent="0.15">
      <c r="B66" s="238"/>
      <c r="C66" s="238"/>
      <c r="D66" s="238"/>
      <c r="E66" s="238"/>
      <c r="F66" s="238"/>
      <c r="G66" s="238"/>
      <c r="H66" s="238"/>
      <c r="I66" s="238"/>
      <c r="J66" s="238"/>
      <c r="K66" s="238"/>
      <c r="L66" s="238"/>
      <c r="M66" s="238"/>
      <c r="N66" s="238"/>
    </row>
    <row r="67" spans="2:19" x14ac:dyDescent="0.15">
      <c r="B67" s="238"/>
      <c r="C67" s="238"/>
      <c r="D67" s="238"/>
      <c r="E67" s="238"/>
      <c r="F67" s="238"/>
      <c r="G67" s="238"/>
      <c r="H67" s="238"/>
      <c r="I67" s="238"/>
      <c r="J67" s="238"/>
      <c r="K67" s="238"/>
      <c r="L67" s="238"/>
      <c r="M67" s="238"/>
      <c r="N67" s="238"/>
    </row>
    <row r="68" spans="2:19" x14ac:dyDescent="0.15">
      <c r="B68" s="238"/>
      <c r="C68" s="238"/>
      <c r="D68" s="238"/>
      <c r="E68" s="238"/>
      <c r="F68" s="238"/>
      <c r="G68" s="238"/>
      <c r="H68" s="238"/>
      <c r="I68" s="238"/>
      <c r="J68" s="238"/>
      <c r="K68" s="238"/>
      <c r="L68" s="238"/>
      <c r="M68" s="238"/>
      <c r="N68" s="238"/>
    </row>
    <row r="69" spans="2:19" x14ac:dyDescent="0.15">
      <c r="B69" s="238"/>
      <c r="C69" s="238"/>
      <c r="D69" s="238"/>
      <c r="E69" s="238"/>
      <c r="F69" s="238"/>
      <c r="G69" s="238"/>
      <c r="H69" s="238"/>
      <c r="I69" s="238"/>
      <c r="J69" s="238"/>
      <c r="K69" s="238"/>
      <c r="L69" s="238"/>
      <c r="M69" s="238"/>
      <c r="N69" s="238"/>
    </row>
    <row r="70" spans="2:19" x14ac:dyDescent="0.15">
      <c r="B70" s="274"/>
      <c r="C70" s="274"/>
      <c r="D70" s="274"/>
      <c r="E70" s="274"/>
      <c r="F70" s="274"/>
      <c r="G70" s="274"/>
      <c r="H70" s="274"/>
      <c r="I70" s="274"/>
      <c r="J70" s="274"/>
      <c r="K70" s="274"/>
      <c r="L70" s="274"/>
      <c r="M70" s="274"/>
      <c r="N70" s="274"/>
    </row>
    <row r="71" spans="2:19" x14ac:dyDescent="0.15">
      <c r="B71" s="238"/>
      <c r="C71" s="238"/>
      <c r="D71" s="238"/>
      <c r="E71" s="238"/>
      <c r="F71" s="238"/>
      <c r="G71" s="238"/>
      <c r="H71" s="238"/>
      <c r="I71" s="238"/>
      <c r="J71" s="238"/>
      <c r="K71" s="238"/>
      <c r="L71" s="238"/>
      <c r="M71" s="238"/>
      <c r="N71" s="238"/>
    </row>
    <row r="72" spans="2:19" x14ac:dyDescent="0.15">
      <c r="H72" s="268" t="s">
        <v>121</v>
      </c>
      <c r="I72" s="238"/>
      <c r="J72" s="238"/>
      <c r="K72" s="238"/>
      <c r="L72" s="238"/>
      <c r="M72" s="238"/>
      <c r="O72" s="275"/>
      <c r="P72" s="238"/>
      <c r="Q72" s="238"/>
      <c r="R72" s="238"/>
      <c r="S72" s="238"/>
    </row>
    <row r="73" spans="2:19" ht="45.75" customHeight="1" x14ac:dyDescent="0.15">
      <c r="H73" s="311" t="s">
        <v>145</v>
      </c>
      <c r="I73" s="311"/>
      <c r="J73" s="311"/>
      <c r="K73" s="311"/>
      <c r="L73" s="311"/>
      <c r="M73" s="311"/>
      <c r="N73" s="311"/>
      <c r="O73" s="264"/>
      <c r="P73" s="264"/>
      <c r="Q73" s="264"/>
      <c r="R73" s="264"/>
      <c r="S73" s="264"/>
    </row>
    <row r="74" spans="2:19" x14ac:dyDescent="0.15">
      <c r="H74" s="311"/>
      <c r="I74" s="311"/>
      <c r="J74" s="311"/>
      <c r="K74" s="311"/>
      <c r="L74" s="311"/>
      <c r="M74" s="311"/>
      <c r="N74" s="311"/>
      <c r="O74" s="264"/>
      <c r="P74" s="264"/>
      <c r="Q74" s="264"/>
      <c r="R74" s="264"/>
      <c r="S74" s="264"/>
    </row>
    <row r="75" spans="2:19" x14ac:dyDescent="0.15">
      <c r="B75" s="264"/>
      <c r="C75" s="264"/>
      <c r="D75" s="264"/>
      <c r="E75" s="264"/>
      <c r="F75" s="264"/>
      <c r="G75" s="264"/>
      <c r="H75" s="311"/>
      <c r="I75" s="311"/>
      <c r="J75" s="311"/>
      <c r="K75" s="311"/>
      <c r="L75" s="311"/>
      <c r="M75" s="311"/>
      <c r="N75" s="311"/>
    </row>
    <row r="76" spans="2:19" x14ac:dyDescent="0.15">
      <c r="B76" s="264"/>
      <c r="C76" s="264"/>
      <c r="D76" s="264"/>
      <c r="E76" s="264"/>
      <c r="F76" s="264"/>
      <c r="G76" s="264"/>
      <c r="H76" s="311"/>
      <c r="I76" s="311"/>
      <c r="J76" s="311"/>
      <c r="K76" s="311"/>
      <c r="L76" s="311"/>
      <c r="M76" s="311"/>
      <c r="N76" s="311"/>
    </row>
    <row r="77" spans="2:19" x14ac:dyDescent="0.15">
      <c r="B77" s="264"/>
      <c r="C77" s="264"/>
      <c r="D77" s="264"/>
      <c r="E77" s="264"/>
      <c r="F77" s="264"/>
      <c r="G77" s="264"/>
      <c r="H77" s="264"/>
    </row>
    <row r="78" spans="2:19" x14ac:dyDescent="0.15">
      <c r="B78" s="238"/>
      <c r="C78" s="238"/>
      <c r="D78" s="238"/>
      <c r="E78" s="238"/>
      <c r="F78" s="238"/>
      <c r="G78" s="238"/>
      <c r="H78" s="238"/>
      <c r="I78" s="238"/>
      <c r="J78" s="238"/>
      <c r="K78" s="238"/>
      <c r="L78" s="238"/>
      <c r="M78" s="238"/>
      <c r="N78" s="238"/>
    </row>
    <row r="79" spans="2:19" x14ac:dyDescent="0.15">
      <c r="B79" s="238"/>
      <c r="C79" s="238"/>
      <c r="D79" s="238"/>
      <c r="E79" s="238"/>
      <c r="F79" s="238"/>
      <c r="G79" s="238"/>
      <c r="H79" s="238"/>
      <c r="I79" s="238"/>
      <c r="J79" s="238"/>
      <c r="K79" s="238"/>
      <c r="L79" s="238"/>
      <c r="M79" s="238"/>
      <c r="N79" s="238"/>
    </row>
    <row r="80" spans="2:19" x14ac:dyDescent="0.15">
      <c r="B80" s="238"/>
      <c r="C80" s="238"/>
      <c r="D80" s="238"/>
      <c r="E80" s="238"/>
      <c r="F80" s="238"/>
      <c r="G80" s="238"/>
      <c r="H80" s="238"/>
      <c r="I80" s="238"/>
      <c r="J80" s="238"/>
      <c r="K80" s="238"/>
      <c r="L80" s="238"/>
      <c r="M80" s="238"/>
      <c r="N80" s="238"/>
    </row>
    <row r="81" spans="2:14" x14ac:dyDescent="0.15">
      <c r="B81" s="238"/>
      <c r="C81" s="238"/>
      <c r="D81" s="238"/>
      <c r="E81" s="238"/>
      <c r="F81" s="238"/>
      <c r="G81" s="238"/>
      <c r="H81" s="238"/>
      <c r="I81" s="238"/>
      <c r="J81" s="238"/>
      <c r="K81" s="238"/>
      <c r="L81" s="238"/>
      <c r="M81" s="238"/>
      <c r="N81" s="238"/>
    </row>
    <row r="82" spans="2:14" x14ac:dyDescent="0.15">
      <c r="B82" s="238"/>
      <c r="C82" s="238"/>
      <c r="D82" s="238"/>
      <c r="E82" s="238"/>
      <c r="F82" s="238"/>
      <c r="G82" s="238"/>
      <c r="H82" s="238"/>
      <c r="I82" s="238"/>
      <c r="J82" s="238"/>
      <c r="K82" s="238"/>
      <c r="L82" s="238"/>
      <c r="M82" s="238"/>
      <c r="N82" s="238"/>
    </row>
    <row r="83" spans="2:14" x14ac:dyDescent="0.15">
      <c r="B83" s="238"/>
      <c r="C83" s="238"/>
      <c r="D83" s="238"/>
      <c r="E83" s="238"/>
      <c r="F83" s="238"/>
      <c r="G83" s="238"/>
      <c r="H83" s="238"/>
      <c r="I83" s="238"/>
      <c r="J83" s="238"/>
      <c r="K83" s="238"/>
      <c r="L83" s="238"/>
      <c r="M83" s="238"/>
      <c r="N83" s="238"/>
    </row>
    <row r="84" spans="2:14" x14ac:dyDescent="0.15">
      <c r="B84" s="238"/>
      <c r="C84" s="238"/>
      <c r="D84" s="238"/>
      <c r="E84" s="238"/>
      <c r="F84" s="238"/>
      <c r="G84" s="238"/>
      <c r="H84" s="238"/>
      <c r="I84" s="238"/>
      <c r="J84" s="238"/>
      <c r="K84" s="238"/>
      <c r="L84" s="238"/>
      <c r="M84" s="238"/>
      <c r="N84" s="238"/>
    </row>
    <row r="85" spans="2:14" x14ac:dyDescent="0.15">
      <c r="B85" s="238"/>
      <c r="C85" s="238"/>
      <c r="D85" s="238"/>
      <c r="E85" s="238"/>
      <c r="F85" s="238"/>
      <c r="G85" s="238"/>
      <c r="H85" s="238"/>
      <c r="I85" s="238"/>
      <c r="J85" s="238"/>
      <c r="K85" s="238"/>
      <c r="L85" s="238"/>
      <c r="M85" s="238"/>
      <c r="N85" s="238"/>
    </row>
    <row r="86" spans="2:14" x14ac:dyDescent="0.15">
      <c r="B86" s="238"/>
      <c r="C86" s="238"/>
      <c r="D86" s="238"/>
      <c r="E86" s="238"/>
      <c r="F86" s="238"/>
      <c r="G86" s="238"/>
      <c r="H86" s="238"/>
      <c r="I86" s="238"/>
      <c r="J86" s="238"/>
      <c r="K86" s="238"/>
      <c r="L86" s="238"/>
      <c r="M86" s="238"/>
      <c r="N86" s="238"/>
    </row>
    <row r="87" spans="2:14" x14ac:dyDescent="0.15">
      <c r="B87" s="238"/>
      <c r="C87" s="238"/>
      <c r="D87" s="238"/>
      <c r="E87" s="238"/>
      <c r="F87" s="238"/>
      <c r="G87" s="238"/>
      <c r="H87" s="238"/>
      <c r="I87" s="238"/>
      <c r="J87" s="238"/>
      <c r="K87" s="238"/>
      <c r="L87" s="238"/>
      <c r="M87" s="238"/>
      <c r="N87" s="238"/>
    </row>
    <row r="88" spans="2:14" x14ac:dyDescent="0.15">
      <c r="B88" s="238"/>
      <c r="C88" s="238"/>
      <c r="D88" s="238"/>
      <c r="E88" s="238"/>
      <c r="F88" s="238"/>
      <c r="G88" s="238"/>
      <c r="H88" s="238"/>
      <c r="I88" s="238"/>
      <c r="J88" s="238"/>
      <c r="K88" s="238"/>
      <c r="L88" s="238"/>
      <c r="M88" s="238"/>
      <c r="N88" s="238"/>
    </row>
    <row r="89" spans="2:14" x14ac:dyDescent="0.15">
      <c r="B89" s="238"/>
      <c r="C89" s="238"/>
      <c r="D89" s="238"/>
      <c r="E89" s="238"/>
      <c r="F89" s="238"/>
      <c r="G89" s="238"/>
      <c r="H89" s="238"/>
      <c r="I89" s="238"/>
      <c r="J89" s="238"/>
      <c r="K89" s="238"/>
      <c r="L89" s="238"/>
      <c r="M89" s="238"/>
      <c r="N89" s="238"/>
    </row>
    <row r="90" spans="2:14" x14ac:dyDescent="0.15">
      <c r="B90" s="238"/>
      <c r="C90" s="238"/>
      <c r="D90" s="238"/>
      <c r="E90" s="238"/>
      <c r="F90" s="238"/>
      <c r="G90" s="238"/>
      <c r="H90" s="238"/>
      <c r="I90" s="238"/>
      <c r="J90" s="238"/>
      <c r="K90" s="238"/>
      <c r="L90" s="238"/>
      <c r="M90" s="238"/>
      <c r="N90" s="238"/>
    </row>
    <row r="91" spans="2:14" x14ac:dyDescent="0.15">
      <c r="B91" s="238"/>
      <c r="C91" s="238"/>
      <c r="D91" s="238"/>
      <c r="E91" s="238"/>
      <c r="F91" s="238"/>
      <c r="G91" s="238"/>
      <c r="H91" s="238"/>
      <c r="I91" s="238"/>
      <c r="J91" s="238"/>
      <c r="K91" s="238"/>
      <c r="L91" s="238"/>
      <c r="M91" s="238"/>
      <c r="N91" s="238"/>
    </row>
    <row r="92" spans="2:14" x14ac:dyDescent="0.15">
      <c r="B92" s="238"/>
      <c r="C92" s="238"/>
      <c r="D92" s="238"/>
      <c r="E92" s="238"/>
      <c r="F92" s="238"/>
      <c r="G92" s="238"/>
      <c r="H92" s="238"/>
      <c r="I92" s="238"/>
      <c r="J92" s="238"/>
      <c r="K92" s="238"/>
      <c r="L92" s="238"/>
      <c r="M92" s="238"/>
      <c r="N92" s="238"/>
    </row>
    <row r="93" spans="2:14" x14ac:dyDescent="0.15">
      <c r="B93" s="238"/>
      <c r="D93" s="238"/>
      <c r="E93" s="238"/>
      <c r="F93" s="238"/>
      <c r="G93" s="238"/>
      <c r="H93" s="238"/>
      <c r="I93" s="238"/>
      <c r="J93" s="238"/>
      <c r="K93" s="238"/>
      <c r="L93" s="238"/>
      <c r="M93" s="238"/>
      <c r="N93" s="238"/>
    </row>
    <row r="94" spans="2:14" ht="13.5" customHeight="1" x14ac:dyDescent="0.15">
      <c r="B94" s="265"/>
      <c r="D94" s="265"/>
      <c r="E94" s="265"/>
      <c r="F94" s="265"/>
      <c r="G94" s="265"/>
      <c r="H94" s="265"/>
      <c r="I94" s="264"/>
      <c r="J94" s="264"/>
      <c r="K94" s="238"/>
      <c r="L94" s="238"/>
      <c r="M94" s="238"/>
      <c r="N94" s="238"/>
    </row>
    <row r="95" spans="2:14" x14ac:dyDescent="0.15">
      <c r="B95" s="265"/>
      <c r="C95" s="268" t="s">
        <v>122</v>
      </c>
      <c r="D95" s="265"/>
      <c r="E95" s="265"/>
      <c r="F95" s="265"/>
      <c r="G95" s="265"/>
      <c r="H95" s="265"/>
      <c r="I95" s="264"/>
      <c r="J95" s="264"/>
      <c r="K95" s="238"/>
      <c r="L95" s="238"/>
      <c r="M95" s="238"/>
      <c r="N95" s="238"/>
    </row>
    <row r="96" spans="2:14" x14ac:dyDescent="0.15">
      <c r="B96" s="265"/>
      <c r="C96" s="265"/>
      <c r="D96" s="265"/>
      <c r="E96" s="265"/>
      <c r="F96" s="265"/>
      <c r="G96" s="265"/>
      <c r="H96" s="265"/>
      <c r="I96" s="264"/>
      <c r="J96" s="264"/>
      <c r="K96" s="238"/>
      <c r="L96" s="238"/>
      <c r="M96" s="238"/>
      <c r="N96" s="238"/>
    </row>
    <row r="97" spans="2:14" ht="74.25" customHeight="1" x14ac:dyDescent="0.15">
      <c r="B97" s="265"/>
      <c r="C97" s="311" t="s">
        <v>123</v>
      </c>
      <c r="D97" s="311"/>
      <c r="E97" s="311"/>
      <c r="F97" s="311"/>
      <c r="G97" s="311"/>
      <c r="H97" s="311"/>
      <c r="I97" s="264"/>
      <c r="J97" s="264"/>
      <c r="K97" s="238"/>
      <c r="L97" s="238"/>
      <c r="M97" s="238"/>
      <c r="N97" s="238"/>
    </row>
    <row r="98" spans="2:14" x14ac:dyDescent="0.15">
      <c r="B98" s="265"/>
      <c r="C98" s="265"/>
      <c r="D98" s="265"/>
      <c r="E98" s="265"/>
      <c r="F98" s="265"/>
      <c r="G98" s="265"/>
      <c r="H98" s="265"/>
      <c r="I98" s="264"/>
      <c r="J98" s="264"/>
      <c r="K98" s="238"/>
      <c r="L98" s="238"/>
      <c r="M98" s="238"/>
      <c r="N98" s="238"/>
    </row>
    <row r="99" spans="2:14" x14ac:dyDescent="0.15">
      <c r="B99" s="265"/>
      <c r="C99" s="265"/>
      <c r="D99" s="265"/>
      <c r="E99" s="265"/>
      <c r="F99" s="265"/>
      <c r="G99" s="265"/>
      <c r="H99" s="265"/>
      <c r="I99" s="264"/>
      <c r="J99" s="238"/>
      <c r="K99" s="238"/>
      <c r="L99" s="238"/>
      <c r="M99" s="238"/>
      <c r="N99" s="238"/>
    </row>
    <row r="100" spans="2:14" x14ac:dyDescent="0.15">
      <c r="B100" s="238"/>
      <c r="C100" s="265"/>
      <c r="D100" s="265"/>
      <c r="E100" s="265"/>
      <c r="F100" s="265"/>
      <c r="G100" s="265"/>
      <c r="H100" s="265"/>
      <c r="I100" s="264"/>
      <c r="J100" s="238"/>
      <c r="K100" s="238"/>
      <c r="L100" s="238"/>
      <c r="M100" s="238"/>
      <c r="N100" s="238"/>
    </row>
    <row r="101" spans="2:14" x14ac:dyDescent="0.15">
      <c r="B101" s="238"/>
      <c r="C101" s="265"/>
      <c r="D101" s="265"/>
      <c r="E101" s="265"/>
      <c r="F101" s="265"/>
      <c r="G101" s="265"/>
      <c r="H101" s="265"/>
      <c r="I101" s="238"/>
      <c r="J101" s="238"/>
      <c r="K101" s="238"/>
      <c r="L101" s="238"/>
      <c r="M101" s="238"/>
      <c r="N101" s="238"/>
    </row>
    <row r="102" spans="2:14" x14ac:dyDescent="0.15">
      <c r="B102" s="238"/>
      <c r="C102" s="238"/>
      <c r="D102" s="238"/>
      <c r="E102" s="238"/>
      <c r="F102" s="238"/>
      <c r="G102" s="238"/>
      <c r="H102" s="238"/>
      <c r="I102" s="238"/>
      <c r="J102" s="238"/>
      <c r="K102" s="238"/>
      <c r="L102" s="238"/>
      <c r="M102" s="238"/>
      <c r="N102" s="238"/>
    </row>
    <row r="103" spans="2:14" x14ac:dyDescent="0.15">
      <c r="B103" s="238"/>
      <c r="C103" s="238"/>
      <c r="D103" s="238"/>
      <c r="E103" s="238"/>
      <c r="F103" s="238"/>
      <c r="G103" s="238"/>
      <c r="H103" s="238"/>
      <c r="I103" s="238"/>
      <c r="J103" s="238"/>
      <c r="K103" s="238"/>
      <c r="L103" s="238"/>
      <c r="M103" s="238"/>
      <c r="N103" s="238"/>
    </row>
    <row r="104" spans="2:14" x14ac:dyDescent="0.15">
      <c r="B104" s="238"/>
      <c r="C104" s="238"/>
      <c r="D104" s="238"/>
      <c r="E104" s="238"/>
      <c r="F104" s="238"/>
      <c r="G104" s="238"/>
      <c r="H104" s="238"/>
      <c r="I104" s="238"/>
      <c r="J104" s="238"/>
      <c r="K104" s="238"/>
      <c r="L104" s="238"/>
      <c r="M104" s="238"/>
      <c r="N104" s="238"/>
    </row>
    <row r="105" spans="2:14" x14ac:dyDescent="0.15">
      <c r="B105" s="238"/>
      <c r="C105" s="238"/>
      <c r="D105" s="238"/>
      <c r="E105" s="238"/>
      <c r="F105" s="238"/>
      <c r="G105" s="238"/>
      <c r="H105" s="238"/>
      <c r="I105" s="238"/>
      <c r="J105" s="238"/>
      <c r="K105" s="238"/>
      <c r="L105" s="238"/>
      <c r="M105" s="238"/>
      <c r="N105" s="238"/>
    </row>
    <row r="106" spans="2:14" x14ac:dyDescent="0.15">
      <c r="B106" s="238"/>
      <c r="C106" s="238"/>
      <c r="D106" s="238"/>
      <c r="E106" s="238"/>
      <c r="F106" s="238"/>
      <c r="G106" s="238"/>
      <c r="H106" s="238"/>
      <c r="I106" s="238"/>
      <c r="J106" s="238"/>
      <c r="K106" s="238"/>
      <c r="L106" s="238"/>
      <c r="M106" s="238"/>
      <c r="N106" s="238"/>
    </row>
    <row r="107" spans="2:14" x14ac:dyDescent="0.15">
      <c r="B107" s="238"/>
      <c r="C107" s="238"/>
      <c r="D107" s="238"/>
      <c r="E107" s="238"/>
      <c r="F107" s="238"/>
      <c r="G107" s="238"/>
      <c r="H107" s="238"/>
      <c r="I107" s="238"/>
      <c r="J107" s="238"/>
      <c r="K107" s="238"/>
      <c r="L107" s="238"/>
      <c r="M107" s="238"/>
      <c r="N107" s="238"/>
    </row>
    <row r="108" spans="2:14" x14ac:dyDescent="0.15">
      <c r="B108" s="238"/>
      <c r="C108" s="238"/>
      <c r="D108" s="238"/>
      <c r="E108" s="238"/>
      <c r="F108" s="238"/>
      <c r="G108" s="238"/>
      <c r="H108" s="238"/>
      <c r="I108" s="238"/>
      <c r="J108" s="238"/>
      <c r="K108" s="238"/>
      <c r="L108" s="238"/>
      <c r="M108" s="238"/>
      <c r="N108" s="238"/>
    </row>
    <row r="109" spans="2:14" x14ac:dyDescent="0.15">
      <c r="B109" s="238"/>
      <c r="C109" s="238"/>
      <c r="D109" s="238"/>
      <c r="E109" s="238"/>
      <c r="F109" s="238"/>
      <c r="G109" s="238"/>
      <c r="H109" s="238"/>
      <c r="I109" s="238"/>
      <c r="J109" s="238"/>
      <c r="K109" s="238"/>
      <c r="L109" s="238"/>
      <c r="M109" s="238"/>
      <c r="N109" s="238"/>
    </row>
  </sheetData>
  <mergeCells count="4">
    <mergeCell ref="I45:M47"/>
    <mergeCell ref="H54:M59"/>
    <mergeCell ref="H73:N76"/>
    <mergeCell ref="C97:H97"/>
  </mergeCells>
  <phoneticPr fontId="3"/>
  <pageMargins left="0.25" right="0.25"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O40"/>
  <sheetViews>
    <sheetView zoomScaleNormal="100" workbookViewId="0">
      <selection activeCell="D11" sqref="D7:D11"/>
    </sheetView>
  </sheetViews>
  <sheetFormatPr defaultRowHeight="13.5" x14ac:dyDescent="0.15"/>
  <cols>
    <col min="1" max="1" width="7.125" customWidth="1"/>
    <col min="2" max="2" width="18.625" style="6" customWidth="1"/>
    <col min="3" max="7" width="16.5" customWidth="1"/>
    <col min="8" max="8" width="16.375" customWidth="1"/>
    <col min="9" max="9" width="18.625" customWidth="1"/>
    <col min="10" max="10" width="4.75" customWidth="1"/>
    <col min="11" max="12" width="9.25" bestFit="1" customWidth="1"/>
  </cols>
  <sheetData>
    <row r="1" spans="1:12" ht="27.75" customHeight="1" x14ac:dyDescent="0.25">
      <c r="B1" s="183" t="s">
        <v>105</v>
      </c>
      <c r="C1" s="184"/>
      <c r="D1" s="184"/>
      <c r="E1" s="184"/>
      <c r="F1" s="184"/>
      <c r="G1" s="184"/>
      <c r="H1" s="185"/>
    </row>
    <row r="2" spans="1:12" ht="3.75" customHeight="1" x14ac:dyDescent="0.15">
      <c r="A2" s="35"/>
      <c r="B2" s="24"/>
      <c r="C2" s="317" t="str">
        <f>IF(OR(入力シート!D6=9,入力シート!E6=9,入力シート!F6=9,入力シート!G6=9,入力シート!H6=9),"非自発的失業者の軽減措置 適用","")</f>
        <v/>
      </c>
      <c r="D2" s="318"/>
      <c r="E2" s="318"/>
      <c r="F2" s="319"/>
      <c r="G2" s="319"/>
    </row>
    <row r="3" spans="1:12" x14ac:dyDescent="0.15">
      <c r="A3" s="35"/>
      <c r="C3" s="320"/>
      <c r="D3" s="320"/>
      <c r="E3" s="320"/>
      <c r="F3" s="321"/>
      <c r="G3" s="321"/>
      <c r="H3" s="34"/>
      <c r="I3" s="58">
        <f ca="1">TODAY()</f>
        <v>46128</v>
      </c>
    </row>
    <row r="4" spans="1:12" ht="27" customHeight="1" x14ac:dyDescent="0.15">
      <c r="B4" s="178" t="s">
        <v>40</v>
      </c>
      <c r="C4" s="179" t="str">
        <f>IF(入力シート!D6=1,"加入者A様",IF(入力シート!D6=9,"加入者A様(特)",IF(入力シート!D6=2,"擬制世帯主様","")))</f>
        <v/>
      </c>
      <c r="D4" s="179" t="str">
        <f>IF(入力シート!E6=1,"加入者B様",IF(入力シート!E6=9,"加入者B様(特)",IF(入力シート!E6=2,"擬制世帯主様","")))</f>
        <v/>
      </c>
      <c r="E4" s="179" t="str">
        <f>IF(入力シート!F6=1,"加入者C様",IF(入力シート!F6=9,"加入者C様(特)",IF(入力シート!F6=2,"擬制世帯主様","")))</f>
        <v/>
      </c>
      <c r="F4" s="179" t="str">
        <f>IF(入力シート!G6=1,"加入者D様",IF(入力シート!G6=9,"加入者D様(特)",IF(入力シート!G6=2,"擬制世帯主様","")))</f>
        <v/>
      </c>
      <c r="G4" s="179" t="str">
        <f>IF(入力シート!H6=1,"加入者E様",IF(入力シート!H6=9,"加入者E様(特)",IF(入力シート!H6=2,"擬制世帯主様","")))</f>
        <v/>
      </c>
    </row>
    <row r="5" spans="1:12" ht="17.25" customHeight="1" x14ac:dyDescent="0.15">
      <c r="B5" s="176"/>
      <c r="C5" s="177" t="str">
        <f>IF(入力シート!D8&gt;0,入力シート!D8,"")</f>
        <v>　</v>
      </c>
      <c r="D5" s="177" t="str">
        <f>IF(入力シート!E8&gt;0,入力シート!E8,"")</f>
        <v>　</v>
      </c>
      <c r="E5" s="177" t="str">
        <f>IF(入力シート!F8&gt;0,入力シート!F8,"")</f>
        <v>　</v>
      </c>
      <c r="F5" s="177" t="str">
        <f>IF(入力シート!G8&gt;0,入力シート!G8,"")</f>
        <v>　</v>
      </c>
      <c r="G5" s="177" t="str">
        <f>IF(入力シート!H8&gt;0,入力シート!H8,"")</f>
        <v>　</v>
      </c>
    </row>
    <row r="6" spans="1:12" ht="27" customHeight="1" x14ac:dyDescent="0.15">
      <c r="B6" s="159" t="s">
        <v>8</v>
      </c>
      <c r="C6" s="162" t="str">
        <f>IF(入力シート!D11=0,"",入力シート!D11)</f>
        <v/>
      </c>
      <c r="D6" s="162" t="str">
        <f>IF(入力シート!E11=0,"",入力シート!E11)</f>
        <v/>
      </c>
      <c r="E6" s="162" t="str">
        <f>IF(入力シート!F11=0,"",入力シート!F11)</f>
        <v/>
      </c>
      <c r="F6" s="162" t="str">
        <f>IF(入力シート!G11=0,"",入力シート!G11)</f>
        <v/>
      </c>
      <c r="G6" s="162" t="str">
        <f>IF(入力シート!H11=0,"",入力シート!H11)</f>
        <v/>
      </c>
    </row>
    <row r="7" spans="1:12" ht="27" customHeight="1" x14ac:dyDescent="0.15">
      <c r="B7" s="160" t="s">
        <v>9</v>
      </c>
      <c r="C7" s="163" t="str">
        <f>IF(入力シート!D12=0,"",入力シート!D12)</f>
        <v/>
      </c>
      <c r="D7" s="163" t="str">
        <f>IF(入力シート!E12=0,"",入力シート!E12)</f>
        <v/>
      </c>
      <c r="E7" s="163" t="str">
        <f>IF(入力シート!F12=0,"",入力シート!F12)</f>
        <v/>
      </c>
      <c r="F7" s="163" t="str">
        <f>IF(入力シート!G12=0,"",入力シート!G12)</f>
        <v/>
      </c>
      <c r="G7" s="163" t="str">
        <f>IF(入力シート!H12=0,"",入力シート!H12)</f>
        <v/>
      </c>
      <c r="I7" s="155" t="str">
        <f>IF(OR(入力シート!D6=9,入力シート!E6=9,入力シート!F6=9,入力シート!G6=9,入力シート!H6=9),"非自発 適用","")</f>
        <v/>
      </c>
    </row>
    <row r="8" spans="1:12" ht="27" customHeight="1" x14ac:dyDescent="0.15">
      <c r="B8" s="159" t="s">
        <v>10</v>
      </c>
      <c r="C8" s="162" t="str">
        <f>IF(入力シート!D13=0,"",入力シート!D13)</f>
        <v/>
      </c>
      <c r="D8" s="162" t="str">
        <f>IF(入力シート!E13=0,"",入力シート!E13)</f>
        <v/>
      </c>
      <c r="E8" s="162" t="str">
        <f>IF(入力シート!F13=0,"",入力シート!F13)</f>
        <v/>
      </c>
      <c r="F8" s="162" t="str">
        <f>IF(入力シート!G13=0,"",入力シート!G13)</f>
        <v/>
      </c>
      <c r="G8" s="162" t="str">
        <f>IF(入力シート!H13=0,"",入力シート!H13)</f>
        <v/>
      </c>
      <c r="H8" s="180"/>
      <c r="I8" s="181">
        <f>入力シート!E24</f>
        <v>0</v>
      </c>
    </row>
    <row r="9" spans="1:12" ht="27" customHeight="1" x14ac:dyDescent="0.15">
      <c r="B9" s="152" t="s">
        <v>62</v>
      </c>
      <c r="C9" s="163" t="str">
        <f>IF(入力シート!D14=0,"",入力シート!D14)</f>
        <v/>
      </c>
      <c r="D9" s="163" t="str">
        <f>IF(入力シート!E14=0,"",入力シート!E14)</f>
        <v/>
      </c>
      <c r="E9" s="163" t="str">
        <f>IF(入力シート!F14=0,"",入力シート!F14)</f>
        <v/>
      </c>
      <c r="F9" s="163" t="str">
        <f>IF(入力シート!G14=0,"",入力シート!G14)</f>
        <v/>
      </c>
      <c r="G9" s="163" t="str">
        <f>IF(入力シート!H14=0,"",入力シート!H14)</f>
        <v/>
      </c>
    </row>
    <row r="10" spans="1:12" ht="27" customHeight="1" x14ac:dyDescent="0.15">
      <c r="B10" s="158" t="s">
        <v>14</v>
      </c>
      <c r="C10" s="164" t="str">
        <f>IF(入力シート!D15=0,"",入力シート!D15)</f>
        <v/>
      </c>
      <c r="D10" s="164" t="str">
        <f>IF(入力シート!E15=0,"",入力シート!E15)</f>
        <v/>
      </c>
      <c r="E10" s="164" t="str">
        <f>IF(入力シート!F15=0,"",入力シート!F15)</f>
        <v/>
      </c>
      <c r="F10" s="164" t="str">
        <f>IF(入力シート!G15=0,"",入力シート!G15)</f>
        <v/>
      </c>
      <c r="G10" s="164" t="str">
        <f>IF(入力シート!H15=0,"",入力シート!H15)</f>
        <v/>
      </c>
      <c r="H10" s="34"/>
    </row>
    <row r="11" spans="1:12" ht="27" customHeight="1" x14ac:dyDescent="0.15">
      <c r="B11" s="158" t="s">
        <v>15</v>
      </c>
      <c r="C11" s="164" t="str">
        <f>IF(入力シート!D16=0,"",入力シート!D16)</f>
        <v/>
      </c>
      <c r="D11" s="164" t="str">
        <f>IF(入力シート!E16=0,"",入力シート!E16)</f>
        <v/>
      </c>
      <c r="E11" s="164" t="str">
        <f>IF(入力シート!F16=0,"",入力シート!F16)</f>
        <v/>
      </c>
      <c r="F11" s="164" t="str">
        <f>IF(入力シート!G16=0,"",入力シート!G16)</f>
        <v/>
      </c>
      <c r="G11" s="164" t="str">
        <f>IF(入力シート!H16=0,"",入力シート!H16)</f>
        <v/>
      </c>
      <c r="H11" s="34"/>
    </row>
    <row r="12" spans="1:12" ht="27" customHeight="1" x14ac:dyDescent="0.15">
      <c r="B12" s="161" t="s">
        <v>16</v>
      </c>
      <c r="C12" s="165" t="str">
        <f>IF(入力シート!D17=0,"",入力シート!D17)</f>
        <v/>
      </c>
      <c r="D12" s="166" t="str">
        <f>IF(入力シート!E17=0,"",入力シート!E17)</f>
        <v/>
      </c>
      <c r="E12" s="166" t="str">
        <f>IF(入力シート!F17=0,"",入力シート!F17)</f>
        <v/>
      </c>
      <c r="F12" s="167" t="str">
        <f>IF(入力シート!G17=0,"",入力シート!G17)</f>
        <v/>
      </c>
      <c r="G12" s="168" t="str">
        <f>IF(入力シート!H17=0,"",入力シート!H17)</f>
        <v/>
      </c>
    </row>
    <row r="13" spans="1:12" ht="8.25" customHeight="1" x14ac:dyDescent="0.2">
      <c r="B13" s="18"/>
      <c r="C13" s="19"/>
      <c r="D13" s="19"/>
      <c r="E13" s="19"/>
      <c r="F13" s="19"/>
      <c r="G13" s="19"/>
    </row>
    <row r="14" spans="1:12" ht="21" hidden="1" customHeight="1" x14ac:dyDescent="0.15">
      <c r="B14" s="329" t="s">
        <v>18</v>
      </c>
      <c r="C14" s="330"/>
      <c r="D14" s="329" t="s">
        <v>20</v>
      </c>
      <c r="E14" s="330"/>
      <c r="F14" s="329" t="s">
        <v>21</v>
      </c>
      <c r="G14" s="330"/>
      <c r="H14" s="37" t="s">
        <v>23</v>
      </c>
      <c r="I14" s="13" t="s">
        <v>24</v>
      </c>
      <c r="J14" s="25"/>
      <c r="K14" s="25"/>
      <c r="L14" s="25"/>
    </row>
    <row r="15" spans="1:12" ht="27" hidden="1" customHeight="1" x14ac:dyDescent="0.15">
      <c r="B15" s="65" t="s">
        <v>39</v>
      </c>
      <c r="C15" s="22" t="s">
        <v>17</v>
      </c>
      <c r="D15" s="22" t="s">
        <v>19</v>
      </c>
      <c r="E15" s="22" t="s">
        <v>17</v>
      </c>
      <c r="F15" s="23" t="s">
        <v>22</v>
      </c>
      <c r="G15" s="17" t="s">
        <v>17</v>
      </c>
      <c r="H15" s="21"/>
      <c r="I15" s="21"/>
      <c r="J15" s="24"/>
      <c r="K15" s="24"/>
      <c r="L15" s="24"/>
    </row>
    <row r="16" spans="1:12" ht="27" hidden="1" customHeight="1" x14ac:dyDescent="0.2">
      <c r="A16" t="s">
        <v>28</v>
      </c>
      <c r="B16" s="32" t="str">
        <f>IF(入力シート!C22=0,"",入力シート!C22)</f>
        <v/>
      </c>
      <c r="C16" s="32" t="str">
        <f>IF(入力シート!D22=0,"",入力シート!D22)</f>
        <v/>
      </c>
      <c r="D16" s="32" t="e">
        <f>IF(入力シート!#REF!=0,"",入力シート!#REF!)</f>
        <v>#REF!</v>
      </c>
      <c r="E16" s="32" t="e">
        <f>IF(入力シート!#REF!=0,"",入力シート!#REF!)</f>
        <v>#REF!</v>
      </c>
      <c r="F16" s="27" t="str">
        <f>IF(入力シート!E22=0,"",入力シート!E22)</f>
        <v/>
      </c>
      <c r="G16" s="27" t="str">
        <f>IF(入力シート!F22=0,"",入力シート!F22)</f>
        <v/>
      </c>
      <c r="H16" s="27" t="e">
        <f>IF(入力シート!#REF!=0,"",入力シート!#REF!)</f>
        <v>#REF!</v>
      </c>
      <c r="I16" s="27" t="str">
        <f>IF(入力シート!G22=0,"",入力シート!G22)</f>
        <v/>
      </c>
      <c r="J16" s="36"/>
      <c r="K16" s="19"/>
      <c r="L16" s="19"/>
    </row>
    <row r="17" spans="1:15" ht="27" hidden="1" customHeight="1" x14ac:dyDescent="0.2">
      <c r="A17" t="s">
        <v>49</v>
      </c>
      <c r="B17" s="32" t="str">
        <f>IF(入力シート!C23=0,"",入力シート!C23)</f>
        <v/>
      </c>
      <c r="C17" s="32" t="str">
        <f>IF(入力シート!D23=0,"",入力シート!D23)</f>
        <v/>
      </c>
      <c r="D17" s="322"/>
      <c r="E17" s="323"/>
      <c r="F17" s="27" t="str">
        <f>IF(入力シート!E23=0,"",入力シート!E23)</f>
        <v/>
      </c>
      <c r="G17" s="27" t="str">
        <f>IF(入力シート!F23=0,"",入力シート!F23)</f>
        <v/>
      </c>
      <c r="H17" s="327"/>
      <c r="I17" s="27" t="str">
        <f>IF(入力シート!G23=0,"",入力シート!G23)</f>
        <v/>
      </c>
      <c r="J17" s="36"/>
      <c r="K17" s="19"/>
      <c r="L17" s="19"/>
    </row>
    <row r="18" spans="1:15" ht="27" hidden="1" customHeight="1" x14ac:dyDescent="0.2">
      <c r="A18" t="s">
        <v>29</v>
      </c>
      <c r="B18" s="32" t="str">
        <f>IF(入力シート!C24=0,"",入力シート!C24)</f>
        <v/>
      </c>
      <c r="C18" s="32" t="str">
        <f>IF(入力シート!D24=0,"",入力シート!D24)</f>
        <v/>
      </c>
      <c r="D18" s="324"/>
      <c r="E18" s="325"/>
      <c r="F18" s="27" t="str">
        <f>IF(入力シート!E24=0,"",入力シート!E24)</f>
        <v/>
      </c>
      <c r="G18" s="27" t="str">
        <f>IF(入力シート!F24=0,"",入力シート!F24)</f>
        <v/>
      </c>
      <c r="H18" s="328"/>
      <c r="I18" s="27" t="str">
        <f>IF(入力シート!G24=0,"",入力シート!G24)</f>
        <v/>
      </c>
      <c r="J18" s="36"/>
      <c r="K18" s="19"/>
      <c r="L18" s="19"/>
    </row>
    <row r="19" spans="1:15" ht="27" hidden="1" customHeight="1" x14ac:dyDescent="0.15"/>
    <row r="20" spans="1:15" ht="21" hidden="1" customHeight="1" x14ac:dyDescent="0.15">
      <c r="B20" s="13" t="s">
        <v>35</v>
      </c>
      <c r="C20" s="13" t="s">
        <v>36</v>
      </c>
    </row>
    <row r="21" spans="1:15" ht="27" hidden="1" customHeight="1" x14ac:dyDescent="0.2">
      <c r="A21" t="s">
        <v>28</v>
      </c>
      <c r="B21" s="32" t="str">
        <f>IF(入力シート!H22=0,"",入力シート!H22)</f>
        <v/>
      </c>
      <c r="C21" s="32" t="str">
        <f>IF(入力シート!I22=0,"",入力シート!I22)</f>
        <v/>
      </c>
      <c r="E21" s="138" t="s">
        <v>85</v>
      </c>
      <c r="F21" s="138"/>
    </row>
    <row r="22" spans="1:15" ht="27" hidden="1" customHeight="1" x14ac:dyDescent="0.2">
      <c r="A22" t="s">
        <v>49</v>
      </c>
      <c r="B22" s="32" t="str">
        <f>IF(入力シート!H23=0,"",入力シート!H23)</f>
        <v/>
      </c>
      <c r="C22" s="32">
        <f>入力シート!I23</f>
        <v>0</v>
      </c>
      <c r="E22" s="33" t="s">
        <v>37</v>
      </c>
      <c r="G22" s="39" t="s">
        <v>41</v>
      </c>
    </row>
    <row r="23" spans="1:15" ht="27" hidden="1" customHeight="1" x14ac:dyDescent="0.2">
      <c r="A23" t="s">
        <v>29</v>
      </c>
      <c r="B23" s="32" t="str">
        <f>IF(入力シート!H24=0,"",入力シート!H24)</f>
        <v/>
      </c>
      <c r="C23" s="32">
        <f>入力シート!I24</f>
        <v>0</v>
      </c>
      <c r="E23" s="32" t="str">
        <f>IF(入力シート!F28=0,"",入力シート!F28)</f>
        <v/>
      </c>
      <c r="G23" s="49" t="str">
        <f>IF(E23="","",IF(MOD(E23,12)&lt;&gt;0,"約","")&amp;ROUNDDOWN(E23/12/1000,0)&amp;","&amp;RIGHT(TEXT(ROUND(E23/12,0),0),3))</f>
        <v/>
      </c>
    </row>
    <row r="24" spans="1:15" ht="2.25" customHeight="1" x14ac:dyDescent="0.15">
      <c r="B24" s="38"/>
      <c r="E24" s="311"/>
      <c r="F24" s="311"/>
    </row>
    <row r="25" spans="1:15" ht="27" customHeight="1" x14ac:dyDescent="0.15">
      <c r="B25" s="38"/>
      <c r="D25" s="157" t="s">
        <v>86</v>
      </c>
      <c r="E25" s="145" t="s">
        <v>89</v>
      </c>
      <c r="F25" s="146" t="s">
        <v>95</v>
      </c>
    </row>
    <row r="26" spans="1:15" ht="33.75" customHeight="1" x14ac:dyDescent="0.2">
      <c r="B26" s="38"/>
      <c r="D26" s="154" t="str">
        <f>IF(入力シート!F28=0,"",入力シート!F28)</f>
        <v/>
      </c>
      <c r="E26" s="169" t="e">
        <f>D26/8</f>
        <v>#VALUE!</v>
      </c>
      <c r="F26" s="156" t="e">
        <f>D26/12</f>
        <v>#VALUE!</v>
      </c>
    </row>
    <row r="27" spans="1:15" ht="4.5" customHeight="1" x14ac:dyDescent="0.2">
      <c r="B27" s="38"/>
      <c r="D27" s="140"/>
      <c r="E27" s="141"/>
      <c r="F27" s="142"/>
    </row>
    <row r="28" spans="1:15" ht="18.75" customHeight="1" x14ac:dyDescent="0.15">
      <c r="B28" s="153" t="s">
        <v>63</v>
      </c>
      <c r="C28" s="149"/>
      <c r="D28" s="149"/>
      <c r="E28" s="149"/>
      <c r="F28" s="149"/>
      <c r="G28" s="149"/>
      <c r="H28" s="149"/>
      <c r="I28" s="149"/>
      <c r="J28" s="149"/>
    </row>
    <row r="29" spans="1:15" ht="21.75" customHeight="1" x14ac:dyDescent="0.15">
      <c r="B29" s="331" t="s">
        <v>88</v>
      </c>
      <c r="C29" s="331"/>
      <c r="D29" s="331"/>
      <c r="E29" s="331"/>
      <c r="F29" s="331"/>
      <c r="G29" s="331"/>
      <c r="H29" s="331"/>
      <c r="I29" s="331"/>
      <c r="J29" s="331"/>
      <c r="K29" s="147"/>
    </row>
    <row r="30" spans="1:15" ht="21.75" customHeight="1" x14ac:dyDescent="0.15">
      <c r="B30" s="150" t="s">
        <v>87</v>
      </c>
      <c r="C30" s="151"/>
      <c r="D30" s="151"/>
      <c r="E30" s="151"/>
      <c r="F30" s="151"/>
      <c r="G30" s="151"/>
      <c r="H30" s="151"/>
      <c r="I30" s="151"/>
      <c r="J30" s="151"/>
      <c r="K30" s="139"/>
      <c r="L30" s="139"/>
      <c r="M30" s="139"/>
      <c r="N30" s="139"/>
      <c r="O30" s="139"/>
    </row>
    <row r="31" spans="1:15" ht="36.75" customHeight="1" x14ac:dyDescent="0.15">
      <c r="B31" s="326" t="s">
        <v>97</v>
      </c>
      <c r="C31" s="326"/>
      <c r="D31" s="326"/>
      <c r="E31" s="326"/>
      <c r="F31" s="326"/>
      <c r="G31" s="326"/>
      <c r="H31" s="326"/>
      <c r="I31" s="326"/>
      <c r="J31" s="326"/>
      <c r="K31" s="148"/>
      <c r="L31" s="144"/>
      <c r="M31" s="144"/>
      <c r="N31" s="144"/>
      <c r="O31" s="144"/>
    </row>
    <row r="32" spans="1:15" ht="20.25" customHeight="1" x14ac:dyDescent="0.15">
      <c r="B32" s="326" t="s">
        <v>93</v>
      </c>
      <c r="C32" s="326"/>
      <c r="D32" s="326"/>
      <c r="E32" s="326"/>
      <c r="F32" s="326"/>
      <c r="G32" s="326"/>
      <c r="H32" s="326"/>
      <c r="I32" s="326"/>
      <c r="J32" s="326"/>
      <c r="K32" s="143"/>
      <c r="L32" s="143"/>
      <c r="M32" s="143"/>
      <c r="N32" s="143"/>
      <c r="O32" s="143"/>
    </row>
    <row r="33" spans="2:15" ht="20.25" customHeight="1" x14ac:dyDescent="0.15">
      <c r="B33" s="326"/>
      <c r="C33" s="326"/>
      <c r="D33" s="326"/>
      <c r="E33" s="326"/>
      <c r="F33" s="326"/>
      <c r="G33" s="326"/>
      <c r="H33" s="326"/>
      <c r="I33" s="326"/>
      <c r="J33" s="326"/>
      <c r="K33" s="143"/>
      <c r="L33" s="143"/>
      <c r="M33" s="143"/>
      <c r="N33" s="143"/>
      <c r="O33" s="143"/>
    </row>
    <row r="34" spans="2:15" ht="10.5" customHeight="1" x14ac:dyDescent="0.15">
      <c r="B34" s="326" t="s">
        <v>94</v>
      </c>
      <c r="C34" s="326"/>
      <c r="D34" s="326"/>
      <c r="E34" s="326"/>
      <c r="F34" s="326"/>
      <c r="G34" s="326"/>
      <c r="H34" s="326"/>
      <c r="I34" s="326"/>
      <c r="J34" s="326"/>
      <c r="K34" s="143"/>
      <c r="L34" s="143"/>
      <c r="M34" s="143"/>
      <c r="N34" s="143"/>
      <c r="O34" s="143"/>
    </row>
    <row r="35" spans="2:15" ht="25.5" customHeight="1" x14ac:dyDescent="0.15">
      <c r="B35" s="326"/>
      <c r="C35" s="326"/>
      <c r="D35" s="326"/>
      <c r="E35" s="326"/>
      <c r="F35" s="326"/>
      <c r="G35" s="326"/>
      <c r="H35" s="326"/>
      <c r="I35" s="326"/>
      <c r="J35" s="326"/>
      <c r="K35" s="143"/>
      <c r="L35" s="143"/>
      <c r="M35" s="143"/>
      <c r="N35" s="143"/>
      <c r="O35" s="143"/>
    </row>
    <row r="36" spans="2:15" ht="25.5" customHeight="1" x14ac:dyDescent="0.15">
      <c r="B36" s="326"/>
      <c r="C36" s="326"/>
      <c r="D36" s="326"/>
      <c r="E36" s="326"/>
      <c r="F36" s="326"/>
      <c r="G36" s="326"/>
      <c r="H36" s="326"/>
      <c r="I36" s="326"/>
      <c r="J36" s="326"/>
      <c r="K36" s="143"/>
      <c r="L36" s="143"/>
      <c r="M36" s="143"/>
      <c r="N36" s="143"/>
      <c r="O36" s="143"/>
    </row>
    <row r="37" spans="2:15" ht="23.25" customHeight="1" x14ac:dyDescent="0.15">
      <c r="B37" s="331" t="s">
        <v>92</v>
      </c>
      <c r="C37" s="331"/>
      <c r="D37" s="331"/>
      <c r="E37" s="331"/>
      <c r="F37" s="331"/>
      <c r="G37" s="331"/>
      <c r="H37" s="331"/>
      <c r="I37" s="331"/>
      <c r="J37" s="331"/>
      <c r="K37" s="147"/>
      <c r="L37" s="147"/>
    </row>
    <row r="38" spans="2:15" ht="13.5" customHeight="1" x14ac:dyDescent="0.15">
      <c r="B38" s="331"/>
      <c r="C38" s="331"/>
      <c r="D38" s="331"/>
      <c r="E38" s="331"/>
      <c r="F38" s="331"/>
      <c r="G38" s="331"/>
      <c r="H38" s="331"/>
      <c r="I38" s="331"/>
      <c r="J38" s="331"/>
      <c r="K38" s="147"/>
    </row>
    <row r="39" spans="2:15" ht="13.5" customHeight="1" x14ac:dyDescent="0.15">
      <c r="B39" s="316" t="s">
        <v>96</v>
      </c>
      <c r="C39" s="316"/>
      <c r="D39" s="316"/>
      <c r="E39" s="316"/>
      <c r="F39" s="316"/>
      <c r="G39" s="316"/>
      <c r="H39" s="316"/>
      <c r="I39" s="316"/>
      <c r="J39" s="316"/>
    </row>
    <row r="40" spans="2:15" x14ac:dyDescent="0.15">
      <c r="B40" s="182"/>
      <c r="C40" s="182"/>
      <c r="D40" s="182"/>
      <c r="E40" s="182"/>
      <c r="F40" s="182"/>
      <c r="G40" s="182"/>
      <c r="H40" s="182"/>
    </row>
  </sheetData>
  <sheetProtection selectLockedCells="1"/>
  <mergeCells count="13">
    <mergeCell ref="B39:J39"/>
    <mergeCell ref="C2:G3"/>
    <mergeCell ref="E24:F24"/>
    <mergeCell ref="D17:E18"/>
    <mergeCell ref="B32:J33"/>
    <mergeCell ref="B34:J36"/>
    <mergeCell ref="H17:H18"/>
    <mergeCell ref="B14:C14"/>
    <mergeCell ref="D14:E14"/>
    <mergeCell ref="B37:J38"/>
    <mergeCell ref="B29:J29"/>
    <mergeCell ref="B31:J31"/>
    <mergeCell ref="F14:G14"/>
  </mergeCells>
  <phoneticPr fontId="3"/>
  <printOptions horizontalCentered="1"/>
  <pageMargins left="0.43307086614173229" right="0" top="0.27559055118110237" bottom="0" header="0.19685039370078741" footer="0"/>
  <pageSetup paperSize="9" scale="95" orientation="landscape" horizontalDpi="300" verticalDpi="300"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B1:W36"/>
  <sheetViews>
    <sheetView zoomScale="70" zoomScaleNormal="70" workbookViewId="0">
      <selection activeCell="C9" sqref="C9"/>
    </sheetView>
  </sheetViews>
  <sheetFormatPr defaultRowHeight="13.5" x14ac:dyDescent="0.15"/>
  <cols>
    <col min="1" max="1" width="1.375" customWidth="1"/>
    <col min="2" max="2" width="17.875" style="6" customWidth="1"/>
    <col min="3" max="7" width="16.625" customWidth="1"/>
    <col min="8" max="8" width="11.5" bestFit="1" customWidth="1"/>
    <col min="10" max="10" width="15" customWidth="1"/>
    <col min="11" max="11" width="10.75" customWidth="1"/>
    <col min="12" max="12" width="14.625" customWidth="1"/>
    <col min="13" max="13" width="16.625" customWidth="1"/>
    <col min="14" max="14" width="12" customWidth="1"/>
    <col min="15" max="15" width="11.875" customWidth="1"/>
    <col min="16" max="16" width="14.625" customWidth="1"/>
    <col min="17" max="17" width="10.875" customWidth="1"/>
    <col min="19" max="19" width="12.5" customWidth="1"/>
    <col min="20" max="20" width="12.75" customWidth="1"/>
    <col min="21" max="21" width="7" customWidth="1"/>
  </cols>
  <sheetData>
    <row r="1" spans="2:23" x14ac:dyDescent="0.15">
      <c r="B1" s="6" t="s">
        <v>33</v>
      </c>
      <c r="C1" t="b">
        <f>ISNUMBER(入力シート!D9)</f>
        <v>0</v>
      </c>
      <c r="D1" t="b">
        <f>ISNUMBER(入力シート!E9)</f>
        <v>0</v>
      </c>
      <c r="E1" t="b">
        <f>ISNUMBER(入力シート!F9)</f>
        <v>0</v>
      </c>
      <c r="F1" t="b">
        <f>ISNUMBER(入力シート!G9)</f>
        <v>0</v>
      </c>
      <c r="G1" t="b">
        <f>ISNUMBER(入力シート!H9)</f>
        <v>0</v>
      </c>
      <c r="H1">
        <f>COUNTIF(C1:G1,TRUE)</f>
        <v>0</v>
      </c>
    </row>
    <row r="2" spans="2:23" x14ac:dyDescent="0.15">
      <c r="B2" s="67" t="s">
        <v>71</v>
      </c>
      <c r="C2">
        <f>IF(AND(C3=1,C14&gt;0),1,0)</f>
        <v>0</v>
      </c>
      <c r="D2">
        <f>IF(AND(D3=1,D14&gt;0),1,0)</f>
        <v>0</v>
      </c>
      <c r="E2">
        <f>IF(AND(E3=1,E14&gt;0),1,0)</f>
        <v>0</v>
      </c>
      <c r="F2">
        <f>IF(AND(F3=1,F14&gt;0),1,0)</f>
        <v>0</v>
      </c>
      <c r="G2">
        <f>IF(AND(G3=1,G14&gt;0),1,0)</f>
        <v>0</v>
      </c>
      <c r="H2">
        <f t="shared" ref="H2:H8" si="0">SUM(C2:G2)</f>
        <v>0</v>
      </c>
    </row>
    <row r="3" spans="2:23" x14ac:dyDescent="0.15">
      <c r="B3" s="6" t="s">
        <v>32</v>
      </c>
      <c r="C3">
        <f>IF(C9&gt;=65,1,0)</f>
        <v>1</v>
      </c>
      <c r="D3">
        <f>IF(D9&gt;=65,1,0)</f>
        <v>1</v>
      </c>
      <c r="E3">
        <f>IF(E9&gt;=65,1,0)</f>
        <v>1</v>
      </c>
      <c r="F3">
        <f>IF(F9&gt;=65,1,0)</f>
        <v>1</v>
      </c>
      <c r="G3">
        <f>IF(G9&gt;=65,1,0)</f>
        <v>1</v>
      </c>
      <c r="H3">
        <f t="shared" si="0"/>
        <v>5</v>
      </c>
    </row>
    <row r="4" spans="2:23" x14ac:dyDescent="0.15">
      <c r="B4" s="6" t="s">
        <v>31</v>
      </c>
      <c r="C4">
        <f>IF(C1=FALSE,0,IF(AND(C9&gt;=39,C9&lt;65),1,0))</f>
        <v>0</v>
      </c>
      <c r="D4">
        <f>IF(D1=FALSE,0,IF(AND(D9&gt;=39,D9&lt;65),1,0))</f>
        <v>0</v>
      </c>
      <c r="E4">
        <f>IF(E1=FALSE,0,IF(AND(E9&gt;=39,E9&lt;65),1,0))</f>
        <v>0</v>
      </c>
      <c r="F4">
        <f>IF(F1=FALSE,0,IF(AND(F9&gt;=39,F9&lt;65),1,0))</f>
        <v>0</v>
      </c>
      <c r="G4">
        <f>IF(G1=FALSE,0,IF(AND(G9&gt;=39,G9&lt;65),1,0))</f>
        <v>0</v>
      </c>
      <c r="H4">
        <f t="shared" si="0"/>
        <v>0</v>
      </c>
    </row>
    <row r="5" spans="2:23" x14ac:dyDescent="0.15">
      <c r="B5" s="6" t="s">
        <v>34</v>
      </c>
      <c r="C5">
        <f>IF(C1=TRUE,1,0)</f>
        <v>0</v>
      </c>
      <c r="D5">
        <f>IF(D1=TRUE,1,0)</f>
        <v>0</v>
      </c>
      <c r="E5">
        <f>IF(E1=TRUE,1,0)</f>
        <v>0</v>
      </c>
      <c r="F5">
        <f>IF(F1=TRUE,1,0)</f>
        <v>0</v>
      </c>
      <c r="G5">
        <f>IF(G1=TRUE,1,0)</f>
        <v>0</v>
      </c>
      <c r="H5">
        <f t="shared" si="0"/>
        <v>0</v>
      </c>
    </row>
    <row r="6" spans="2:23" x14ac:dyDescent="0.15">
      <c r="B6" s="6" t="s">
        <v>53</v>
      </c>
      <c r="C6">
        <f>IF(入力シート!D6=3,1,0)</f>
        <v>0</v>
      </c>
      <c r="D6">
        <f>IF(入力シート!E6=3,1,0)</f>
        <v>0</v>
      </c>
      <c r="E6">
        <f>IF(入力シート!F6=3,1,0)</f>
        <v>0</v>
      </c>
      <c r="F6">
        <f>IF(入力シート!G6=3,1,0)</f>
        <v>0</v>
      </c>
      <c r="G6">
        <f>IF(入力シート!H6=3,1,0)</f>
        <v>0</v>
      </c>
      <c r="H6">
        <f t="shared" si="0"/>
        <v>0</v>
      </c>
    </row>
    <row r="7" spans="2:23" x14ac:dyDescent="0.15">
      <c r="B7" s="187" t="s">
        <v>99</v>
      </c>
      <c r="C7">
        <f>IF(C1=FALSE,0,IF(C9&gt;18,1,0))</f>
        <v>0</v>
      </c>
      <c r="D7">
        <f>IF(D1=FALSE,0,IF(D9&gt;18,1,0))</f>
        <v>0</v>
      </c>
      <c r="E7">
        <f>IF(E1=FALSE,0,IF(E9&gt;18,1,0))</f>
        <v>0</v>
      </c>
      <c r="F7">
        <f>IF(F1=FALSE,0,IF(F9&gt;18,1,0))</f>
        <v>0</v>
      </c>
      <c r="G7">
        <f>IF(G1=FALSE,0,IF(G9&gt;18,1,0))</f>
        <v>0</v>
      </c>
      <c r="H7">
        <f t="shared" si="0"/>
        <v>0</v>
      </c>
    </row>
    <row r="8" spans="2:23" x14ac:dyDescent="0.15">
      <c r="B8" s="77" t="s">
        <v>76</v>
      </c>
      <c r="C8" s="78">
        <f>IF(OR(C12&gt;0,C14&gt;0),1,0)</f>
        <v>0</v>
      </c>
      <c r="D8" s="78">
        <f>IF(OR(D12&gt;0,D14&gt;0),1,0)</f>
        <v>0</v>
      </c>
      <c r="E8" s="78">
        <f>IF(OR(E12&gt;0,E14&gt;0),1,0)</f>
        <v>0</v>
      </c>
      <c r="F8" s="78">
        <f>IF(OR(F12&gt;0,F14&gt;0),1,0)</f>
        <v>0</v>
      </c>
      <c r="G8" s="78">
        <f>IF(OR(G12&gt;0,G14&gt;0),1,0)</f>
        <v>0</v>
      </c>
      <c r="H8" s="78">
        <f t="shared" si="0"/>
        <v>0</v>
      </c>
    </row>
    <row r="9" spans="2:23" ht="21.75" customHeight="1" x14ac:dyDescent="0.2">
      <c r="B9" s="4" t="s">
        <v>13</v>
      </c>
      <c r="C9" s="26" t="str">
        <f>入力シート!D9</f>
        <v/>
      </c>
      <c r="D9" s="26" t="str">
        <f>入力シート!E9</f>
        <v/>
      </c>
      <c r="E9" s="26" t="str">
        <f>入力シート!F9</f>
        <v/>
      </c>
      <c r="F9" s="26" t="str">
        <f>入力シート!G9</f>
        <v/>
      </c>
      <c r="G9" s="26" t="str">
        <f>入力シート!H9</f>
        <v/>
      </c>
    </row>
    <row r="10" spans="2:23" ht="27" customHeight="1" x14ac:dyDescent="0.15">
      <c r="B10" s="13"/>
      <c r="C10" s="7" t="s">
        <v>3</v>
      </c>
      <c r="D10" s="7" t="s">
        <v>4</v>
      </c>
      <c r="E10" s="7" t="s">
        <v>5</v>
      </c>
      <c r="F10" s="7" t="s">
        <v>6</v>
      </c>
      <c r="G10" s="7" t="s">
        <v>7</v>
      </c>
    </row>
    <row r="11" spans="2:23" ht="27" customHeight="1" x14ac:dyDescent="0.2">
      <c r="B11" s="4" t="s">
        <v>8</v>
      </c>
      <c r="C11" s="15">
        <f>入力シート!D11</f>
        <v>0</v>
      </c>
      <c r="D11" s="15">
        <f>入力シート!E11</f>
        <v>0</v>
      </c>
      <c r="E11" s="15">
        <f>入力シート!F11</f>
        <v>0</v>
      </c>
      <c r="F11" s="15">
        <f>入力シート!G11</f>
        <v>0</v>
      </c>
      <c r="G11" s="15">
        <f>入力シート!H11</f>
        <v>0</v>
      </c>
      <c r="M11" t="s">
        <v>60</v>
      </c>
    </row>
    <row r="12" spans="2:23" ht="27" customHeight="1" x14ac:dyDescent="0.2">
      <c r="B12" s="4" t="s">
        <v>9</v>
      </c>
      <c r="C12" s="15">
        <f>入力シート!D12</f>
        <v>0</v>
      </c>
      <c r="D12" s="15">
        <f>入力シート!E12</f>
        <v>0</v>
      </c>
      <c r="E12" s="15">
        <f>入力シート!F12</f>
        <v>0</v>
      </c>
      <c r="F12" s="15">
        <f>入力シート!G12</f>
        <v>0</v>
      </c>
      <c r="G12" s="15">
        <f>入力シート!H12</f>
        <v>0</v>
      </c>
      <c r="J12" s="42" t="s">
        <v>30</v>
      </c>
      <c r="K12" s="30" t="s">
        <v>58</v>
      </c>
      <c r="L12" s="28">
        <f>IF(J13&lt;=M12,1,0)</f>
        <v>1</v>
      </c>
      <c r="M12" s="79">
        <f>IF(H8&lt;2,430000,430000+100000*(H8-1))</f>
        <v>430000</v>
      </c>
      <c r="O12" s="35"/>
      <c r="P12" s="50"/>
      <c r="Q12" s="51"/>
      <c r="R12" s="35"/>
      <c r="S12" s="53"/>
      <c r="T12" s="50"/>
      <c r="U12" s="51"/>
    </row>
    <row r="13" spans="2:23" ht="27" customHeight="1" x14ac:dyDescent="0.2">
      <c r="B13" s="4" t="s">
        <v>10</v>
      </c>
      <c r="C13" s="15">
        <f>入力シート!D13</f>
        <v>0</v>
      </c>
      <c r="D13" s="15">
        <f>入力シート!E13</f>
        <v>0</v>
      </c>
      <c r="E13" s="15">
        <f>入力シート!F13</f>
        <v>0</v>
      </c>
      <c r="F13" s="15">
        <f>入力シート!G13</f>
        <v>0</v>
      </c>
      <c r="G13" s="15">
        <f>入力シート!H13</f>
        <v>0</v>
      </c>
      <c r="J13" s="29">
        <f>H19</f>
        <v>0</v>
      </c>
      <c r="K13" s="30" t="s">
        <v>59</v>
      </c>
      <c r="L13" s="28">
        <f>IF(AND(J13&lt;=M13,J13&gt;M12),1,0)</f>
        <v>0</v>
      </c>
      <c r="M13" s="79">
        <f>IF(H8&lt;2,430000+305000*(H5+H6),430000+305000*(H5+H6)+100000*(H8-1))</f>
        <v>430000</v>
      </c>
      <c r="O13" s="35"/>
      <c r="P13" s="50"/>
      <c r="Q13" s="51"/>
      <c r="R13" s="35"/>
      <c r="S13" s="35"/>
      <c r="T13" s="50"/>
      <c r="U13" s="51"/>
    </row>
    <row r="14" spans="2:23" ht="27" customHeight="1" x14ac:dyDescent="0.2">
      <c r="B14" s="4" t="s">
        <v>11</v>
      </c>
      <c r="C14" s="15">
        <f>入力シート!D14</f>
        <v>0</v>
      </c>
      <c r="D14" s="15">
        <f>入力シート!E14</f>
        <v>0</v>
      </c>
      <c r="E14" s="15">
        <f>入力シート!F14</f>
        <v>0</v>
      </c>
      <c r="F14" s="15">
        <f>入力シート!G14</f>
        <v>0</v>
      </c>
      <c r="G14" s="15">
        <f>入力シート!H14</f>
        <v>0</v>
      </c>
      <c r="K14" s="30" t="s">
        <v>57</v>
      </c>
      <c r="L14" s="28">
        <f>IF(AND(J13&gt;M13,J13&lt;=M14),1,0)</f>
        <v>0</v>
      </c>
      <c r="M14" s="79">
        <f>IF(H8&lt;2,430000+560000*(H5+H6),430000+560000*(H5+H6)+100000*(H8-1))</f>
        <v>430000</v>
      </c>
    </row>
    <row r="15" spans="2:23" ht="27" customHeight="1" x14ac:dyDescent="0.2">
      <c r="B15" s="4" t="s">
        <v>14</v>
      </c>
      <c r="C15" s="15">
        <f>入力シート!D15</f>
        <v>0</v>
      </c>
      <c r="D15" s="15">
        <f>入力シート!E15</f>
        <v>0</v>
      </c>
      <c r="E15" s="15">
        <f>入力シート!F15</f>
        <v>0</v>
      </c>
      <c r="F15" s="15">
        <f>入力シート!G15</f>
        <v>0</v>
      </c>
      <c r="G15" s="15">
        <f>入力シート!H15</f>
        <v>0</v>
      </c>
    </row>
    <row r="16" spans="2:23" ht="27" customHeight="1" x14ac:dyDescent="0.2">
      <c r="B16" s="4" t="s">
        <v>15</v>
      </c>
      <c r="C16" s="15">
        <f>入力シート!D16</f>
        <v>0</v>
      </c>
      <c r="D16" s="15">
        <f>入力シート!E16</f>
        <v>0</v>
      </c>
      <c r="E16" s="15">
        <f>入力シート!F16</f>
        <v>0</v>
      </c>
      <c r="F16" s="15">
        <f>入力シート!G16</f>
        <v>0</v>
      </c>
      <c r="G16" s="15">
        <f>入力シート!H16</f>
        <v>0</v>
      </c>
      <c r="J16" s="24"/>
      <c r="K16" s="53"/>
      <c r="L16" s="54"/>
      <c r="M16" s="53"/>
      <c r="N16" s="25"/>
      <c r="O16" s="53"/>
      <c r="P16" s="54"/>
      <c r="Q16" s="53"/>
      <c r="R16" s="25"/>
      <c r="S16" s="53"/>
      <c r="T16" s="54"/>
      <c r="U16" s="53"/>
      <c r="V16" s="55"/>
      <c r="W16" s="55"/>
    </row>
    <row r="17" spans="2:21" ht="27" customHeight="1" x14ac:dyDescent="0.2">
      <c r="B17" s="133" t="s">
        <v>16</v>
      </c>
      <c r="C17" s="20">
        <f>IF(C12+C14+C15+C16=入力シート!D17,C12+C14+C15+C16,入力シート!D17)</f>
        <v>0</v>
      </c>
      <c r="D17" s="20">
        <f>IF(D12+D14+D15+D16=入力シート!E17,D12+D14+D15+D16,入力シート!E17)</f>
        <v>0</v>
      </c>
      <c r="E17" s="20">
        <f>IF(E12+E14+E15+E16=入力シート!F17,E12+E14+E15+E16,入力シート!F17)</f>
        <v>0</v>
      </c>
      <c r="F17" s="20">
        <f>IF(F12+F14+F15+F16=入力シート!G17,F12+F14+F15+F16,入力シート!G17)</f>
        <v>0</v>
      </c>
      <c r="G17" s="20">
        <f>IF(G12+G14+G15+G16=入力シート!H17,G12+G14+G15+G16,入力シート!H17)</f>
        <v>0</v>
      </c>
      <c r="H17" s="3">
        <f>SUM(C17:G17)</f>
        <v>0</v>
      </c>
      <c r="J17" s="52"/>
      <c r="K17" s="17" t="s">
        <v>38</v>
      </c>
      <c r="L17" s="56">
        <f>IF(L12=1,7,IF(L13=1,5,IF(L14=1,2,"無")))</f>
        <v>7</v>
      </c>
      <c r="M17" s="51" t="s">
        <v>77</v>
      </c>
      <c r="N17" s="35"/>
      <c r="O17" s="35"/>
      <c r="P17" s="50"/>
      <c r="Q17" s="51"/>
      <c r="R17" s="35"/>
      <c r="S17" s="35"/>
      <c r="T17" s="50"/>
      <c r="U17" s="51"/>
    </row>
    <row r="18" spans="2:21" ht="27" customHeight="1" x14ac:dyDescent="0.2">
      <c r="B18" s="134" t="s">
        <v>79</v>
      </c>
      <c r="C18" s="132">
        <f>給与計算ｼｰﾄ!D22+C15+C16</f>
        <v>0</v>
      </c>
      <c r="D18" s="132">
        <f>給与計算ｼｰﾄ!F22+D15+D16</f>
        <v>0</v>
      </c>
      <c r="E18" s="132">
        <f>給与計算ｼｰﾄ!H22+E15+E16</f>
        <v>0</v>
      </c>
      <c r="F18" s="132">
        <f>給与計算ｼｰﾄ!J22+F15+F16</f>
        <v>0</v>
      </c>
      <c r="G18" s="132">
        <f>給与計算ｼｰﾄ!L22+G15+G16</f>
        <v>0</v>
      </c>
      <c r="H18" s="3"/>
      <c r="I18" s="19"/>
      <c r="J18" s="83"/>
      <c r="K18" s="24"/>
      <c r="L18" s="82"/>
      <c r="M18" s="51"/>
      <c r="N18" s="35"/>
      <c r="O18" s="35"/>
      <c r="P18" s="50"/>
      <c r="Q18" s="51"/>
      <c r="R18" s="35"/>
      <c r="S18" s="35"/>
      <c r="T18" s="50"/>
      <c r="U18" s="51"/>
    </row>
    <row r="19" spans="2:21" ht="27" customHeight="1" x14ac:dyDescent="0.2">
      <c r="B19" s="131" t="s">
        <v>56</v>
      </c>
      <c r="C19" s="132">
        <f>IF(AND(C3=1,C2=1),IF(C14-150000&lt;0,C12+C15+C16,C12+C14+C15+C16-150000),C17)</f>
        <v>0</v>
      </c>
      <c r="D19" s="132">
        <f>IF(AND(D3=1,D2=1),IF(D14-150000&lt;0,D12+D15+D16,D12+D14+D15+D16-150000),D17)</f>
        <v>0</v>
      </c>
      <c r="E19" s="132">
        <f>IF(AND(E3=1,E2=1),IF(E14-150000&lt;0,E12+E15+E16,E12+E14+E15+E16-150000),E17)</f>
        <v>0</v>
      </c>
      <c r="F19" s="132">
        <f>IF(AND(F3=1,F2=1),IF(F14-150000&lt;0,F12+F15+F16,F12+F14+F15+F16-150000),F17)</f>
        <v>0</v>
      </c>
      <c r="G19" s="132">
        <f>IF(AND(G3=1,G2=1),IF(G14-150000&lt;0,G12+G15+G16,G12+G14+G15+G16-150000),G17)</f>
        <v>0</v>
      </c>
      <c r="H19" s="11">
        <f>SUM(C19:G19)</f>
        <v>0</v>
      </c>
    </row>
    <row r="20" spans="2:21" ht="27" customHeight="1" x14ac:dyDescent="0.2">
      <c r="B20" s="81" t="s">
        <v>78</v>
      </c>
      <c r="C20" s="132">
        <f>IF(C17&gt;25000000,0,IF(AND(C17&gt;24500000,C17&lt;=25000000),150000,IF(AND(C17&gt;24000000,C17&lt;=24500000),290000,430000)))</f>
        <v>430000</v>
      </c>
      <c r="D20" s="132">
        <f>IF(D17&gt;25000000,0,IF(AND(D17&gt;24500000,D17&lt;=25000000),150000,IF(AND(D17&gt;24000000,D17&lt;=24500000),290000,430000)))</f>
        <v>430000</v>
      </c>
      <c r="E20" s="132">
        <f>IF(E17&gt;25000000,0,IF(AND(E17&gt;24500000,E17&lt;=25000000),150000,IF(AND(E17&gt;24000000,E17&lt;=24500000),290000,430000)))</f>
        <v>430000</v>
      </c>
      <c r="F20" s="132">
        <f>IF(F17&gt;25000000,0,IF(AND(F17&gt;24500000,F17&lt;=25000000),150000,IF(AND(F17&gt;24000000,F17&lt;=24500000),290000,430000)))</f>
        <v>430000</v>
      </c>
      <c r="G20" s="132">
        <f>IF(G17&gt;25000000,0,IF(AND(G17&gt;24500000,G17&lt;=25000000),150000,IF(AND(G17&gt;24000000,G17&lt;=24500000),290000,430000)))</f>
        <v>430000</v>
      </c>
    </row>
    <row r="21" spans="2:21" ht="27.75" customHeight="1" x14ac:dyDescent="0.2">
      <c r="B21" s="80" t="s">
        <v>25</v>
      </c>
      <c r="C21" s="132">
        <f>IF(C1="非加入",0,IF(C17-C20&lt;0,0,C17-C20))</f>
        <v>0</v>
      </c>
      <c r="D21" s="132">
        <f>IF(D1="非加入",0,IF(D17-D20&lt;0,0,D17-D20))</f>
        <v>0</v>
      </c>
      <c r="E21" s="132">
        <f>IF(E1="非加入",0,IF(E17-E20&lt;0,0,E17-E20))</f>
        <v>0</v>
      </c>
      <c r="F21" s="132">
        <f>IF(F1="非加入",0,IF(F17-F20&lt;0,0,F17-F20))</f>
        <v>0</v>
      </c>
      <c r="G21" s="132">
        <f>IF(G1="非加入",0,IF(G17-G20&lt;0,0,G17-G20))</f>
        <v>0</v>
      </c>
      <c r="H21" s="25"/>
      <c r="I21" s="25"/>
    </row>
    <row r="22" spans="2:21" ht="21" customHeight="1" x14ac:dyDescent="0.15">
      <c r="B22" s="24"/>
      <c r="C22" s="24"/>
      <c r="D22" s="24"/>
      <c r="E22" s="24"/>
      <c r="F22" s="24"/>
      <c r="G22" s="24"/>
      <c r="H22" s="24"/>
      <c r="I22" s="25"/>
    </row>
    <row r="23" spans="2:21" ht="21" customHeight="1" x14ac:dyDescent="0.15">
      <c r="B23" s="24"/>
      <c r="C23" s="24"/>
      <c r="D23" s="24"/>
      <c r="E23" s="24"/>
      <c r="F23" s="24"/>
      <c r="G23" s="24"/>
      <c r="H23" s="25"/>
      <c r="I23" s="25"/>
    </row>
    <row r="24" spans="2:21" ht="27" customHeight="1" x14ac:dyDescent="0.2">
      <c r="B24" s="63" t="s">
        <v>28</v>
      </c>
      <c r="C24" s="15">
        <f>IF(C21&lt;0,0,ROUNDDOWN(C21*C32,0))</f>
        <v>0</v>
      </c>
      <c r="D24" s="15">
        <f>IF(D21&lt;0,0,ROUNDDOWN(D21*C32,0))</f>
        <v>0</v>
      </c>
      <c r="E24" s="15">
        <f>IF(E21&lt;0,0,ROUNDDOWN(E21*C32,0))</f>
        <v>0</v>
      </c>
      <c r="F24" s="15">
        <f>IF(F21&lt;0,0,ROUNDDOWN(F21*C32,0))</f>
        <v>0</v>
      </c>
      <c r="G24" s="15">
        <f>IF(G21&lt;0,0,ROUNDDOWN(G21*C32,0))</f>
        <v>0</v>
      </c>
    </row>
    <row r="25" spans="2:21" ht="27" customHeight="1" x14ac:dyDescent="0.2">
      <c r="B25" s="59" t="s">
        <v>51</v>
      </c>
      <c r="C25" s="15">
        <f>IF(C21&lt;0,0,ROUNDDOWN(C21*C33,0))</f>
        <v>0</v>
      </c>
      <c r="D25" s="15">
        <f>IF(D21&lt;0,0,ROUNDDOWN(D21*C33,0))</f>
        <v>0</v>
      </c>
      <c r="E25" s="15">
        <f>IF(E21&lt;0,0,ROUNDDOWN(E21*C33,0))</f>
        <v>0</v>
      </c>
      <c r="F25" s="15">
        <f>IF(F21&lt;0,0,ROUNDDOWN(F21*C33,0))</f>
        <v>0</v>
      </c>
      <c r="G25" s="15">
        <f>IF(G21&lt;0,0,ROUNDDOWN(G21*C33,0))</f>
        <v>0</v>
      </c>
    </row>
    <row r="26" spans="2:21" ht="27" customHeight="1" x14ac:dyDescent="0.2">
      <c r="B26" s="46" t="s">
        <v>52</v>
      </c>
      <c r="C26" s="15">
        <f>IF(AND($C$9&gt;=39,$C$9&lt;65),$C$21,0)</f>
        <v>0</v>
      </c>
      <c r="D26" s="15">
        <f>IF(AND($D$9&gt;=39,$D$9&lt;65),$D$21,0)</f>
        <v>0</v>
      </c>
      <c r="E26" s="15">
        <f>IF(AND($E$9&gt;=39,$E$9&lt;65),$E$21,0)</f>
        <v>0</v>
      </c>
      <c r="F26" s="15">
        <f>IF(AND($F$9&gt;=39,$F$9&lt;65),$F$21,0)</f>
        <v>0</v>
      </c>
      <c r="G26" s="15">
        <f>IF(AND($G$9&gt;=39,$G$9&lt;65),$G$21,0)</f>
        <v>0</v>
      </c>
    </row>
    <row r="27" spans="2:21" ht="27" customHeight="1" x14ac:dyDescent="0.2">
      <c r="B27" s="61" t="s">
        <v>29</v>
      </c>
      <c r="C27" s="15">
        <f>IF($C$26=0,0,ROUNDDOWN($C$21*$C$34,0))</f>
        <v>0</v>
      </c>
      <c r="D27" s="15">
        <f>IF($D$26=0,0,ROUNDDOWN($D$21*$C$34,0))</f>
        <v>0</v>
      </c>
      <c r="E27" s="15">
        <f>IF($E$26=0,0,ROUNDDOWN($E$21*$C$34,0))</f>
        <v>0</v>
      </c>
      <c r="F27" s="15">
        <f>IF($F$26=0,0,ROUNDDOWN($F$21*$C$34,0))</f>
        <v>0</v>
      </c>
      <c r="G27" s="15">
        <f>IF($G$26=0,0,ROUNDDOWN($G$21*$C$34,0))</f>
        <v>0</v>
      </c>
    </row>
    <row r="28" spans="2:21" ht="27" customHeight="1" x14ac:dyDescent="0.2">
      <c r="B28" s="186" t="s">
        <v>98</v>
      </c>
      <c r="C28" s="15">
        <f>IF(C21&lt;0,0,ROUNDDOWN(C21*C35,0))</f>
        <v>0</v>
      </c>
      <c r="D28" s="15">
        <f>IF(D21&lt;0,0,ROUNDDOWN(D21*$C$35,0))</f>
        <v>0</v>
      </c>
      <c r="E28" s="15">
        <f>IF(E21&lt;0,0,ROUNDDOWN(E21*$C$35,0))</f>
        <v>0</v>
      </c>
      <c r="F28" s="15">
        <f>IF(F21&lt;0,0,ROUNDDOWN(F21*$C$35,0))</f>
        <v>0</v>
      </c>
      <c r="G28" s="15">
        <f>IF(G21&lt;0,0,ROUNDDOWN(G21*$C$35,0))</f>
        <v>0</v>
      </c>
    </row>
    <row r="30" spans="2:21" ht="27" customHeight="1" x14ac:dyDescent="0.15"/>
    <row r="31" spans="2:21" ht="27" customHeight="1" x14ac:dyDescent="0.15">
      <c r="C31" s="7" t="s">
        <v>44</v>
      </c>
      <c r="D31" s="7" t="s">
        <v>45</v>
      </c>
      <c r="E31" s="7" t="s">
        <v>26</v>
      </c>
      <c r="F31" s="7" t="s">
        <v>27</v>
      </c>
    </row>
    <row r="32" spans="2:21" ht="27" customHeight="1" x14ac:dyDescent="0.2">
      <c r="B32" s="64" t="s">
        <v>28</v>
      </c>
      <c r="C32" s="28">
        <v>8.5099999999999995E-2</v>
      </c>
      <c r="D32" s="28"/>
      <c r="E32" s="31">
        <v>43065</v>
      </c>
      <c r="F32" s="31"/>
    </row>
    <row r="33" spans="2:6" ht="27" customHeight="1" x14ac:dyDescent="0.2">
      <c r="B33" s="60" t="s">
        <v>49</v>
      </c>
      <c r="C33" s="28">
        <v>3.2199999999999999E-2</v>
      </c>
      <c r="D33" s="28"/>
      <c r="E33" s="31">
        <v>12885</v>
      </c>
      <c r="F33" s="31"/>
    </row>
    <row r="34" spans="2:6" ht="27" customHeight="1" x14ac:dyDescent="0.2">
      <c r="B34" s="62" t="s">
        <v>29</v>
      </c>
      <c r="C34" s="28">
        <v>2.7699999999999999E-2</v>
      </c>
      <c r="D34" s="28"/>
      <c r="E34" s="31">
        <v>17354</v>
      </c>
      <c r="F34" s="31"/>
    </row>
    <row r="35" spans="2:6" ht="27.75" customHeight="1" x14ac:dyDescent="0.2">
      <c r="B35" s="187" t="s">
        <v>98</v>
      </c>
      <c r="C35" s="28">
        <v>2.3999999999999998E-3</v>
      </c>
      <c r="D35" s="28"/>
      <c r="E35" s="31">
        <v>1831</v>
      </c>
      <c r="F35" s="31"/>
    </row>
    <row r="36" spans="2:6" ht="27" customHeight="1" x14ac:dyDescent="0.15"/>
  </sheetData>
  <phoneticPr fontId="3"/>
  <pageMargins left="0.75" right="0.75" top="1" bottom="1" header="0.51200000000000001" footer="0.51200000000000001"/>
  <pageSetup paperSize="9"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B5:P28"/>
  <sheetViews>
    <sheetView topLeftCell="B4" zoomScale="85" zoomScaleNormal="85" workbookViewId="0">
      <selection activeCell="D11" sqref="D11"/>
    </sheetView>
  </sheetViews>
  <sheetFormatPr defaultRowHeight="13.5" x14ac:dyDescent="0.15"/>
  <cols>
    <col min="1" max="1" width="3" customWidth="1"/>
    <col min="2" max="2" width="5.625" customWidth="1"/>
    <col min="3" max="3" width="10.125" customWidth="1"/>
    <col min="4" max="4" width="10" customWidth="1"/>
    <col min="5" max="11" width="10.5" bestFit="1" customWidth="1"/>
    <col min="14" max="14" width="28.25" bestFit="1" customWidth="1"/>
    <col min="15" max="15" width="11.625" bestFit="1" customWidth="1"/>
    <col min="16" max="16" width="12.75" bestFit="1" customWidth="1"/>
  </cols>
  <sheetData>
    <row r="5" spans="3:16" x14ac:dyDescent="0.15">
      <c r="C5" t="s">
        <v>65</v>
      </c>
      <c r="E5" t="s">
        <v>64</v>
      </c>
      <c r="G5" t="s">
        <v>66</v>
      </c>
      <c r="I5" t="s">
        <v>67</v>
      </c>
      <c r="K5" t="s">
        <v>68</v>
      </c>
    </row>
    <row r="6" spans="3:16" ht="14.25" x14ac:dyDescent="0.15">
      <c r="C6" s="4" t="s">
        <v>3</v>
      </c>
      <c r="E6" s="4" t="s">
        <v>4</v>
      </c>
      <c r="G6" s="4" t="s">
        <v>5</v>
      </c>
      <c r="I6" s="4" t="s">
        <v>6</v>
      </c>
      <c r="K6" s="4" t="s">
        <v>7</v>
      </c>
    </row>
    <row r="7" spans="3:16" x14ac:dyDescent="0.15">
      <c r="C7" s="1">
        <f>IF(給与所得速算表!D10&lt;=$O$8,給与所得速算表!D10,0)</f>
        <v>0</v>
      </c>
      <c r="D7" s="2">
        <f>IF(C7=0,0,0)</f>
        <v>0</v>
      </c>
      <c r="E7" s="1">
        <f>IF(給与所得速算表!E10&lt;=$O$8,給与所得速算表!E10,0)</f>
        <v>0</v>
      </c>
      <c r="F7" s="2">
        <f>IF(E7=0,0,0)</f>
        <v>0</v>
      </c>
      <c r="G7" s="1">
        <f>IF(給与所得速算表!F10&lt;=$O$8,給与所得速算表!F10,0)</f>
        <v>0</v>
      </c>
      <c r="H7" s="2">
        <f>IF(G7=0,0,0)</f>
        <v>0</v>
      </c>
      <c r="I7" s="1">
        <f>IF(給与所得速算表!G10&lt;=$O$8,給与所得速算表!G10,0)</f>
        <v>0</v>
      </c>
      <c r="J7" s="2">
        <f>IF(I7=0,0,0)</f>
        <v>0</v>
      </c>
      <c r="K7" s="1">
        <f>IF(給与所得速算表!H10&lt;=$O$8,給与所得速算表!H10,0)</f>
        <v>0</v>
      </c>
      <c r="L7" s="2">
        <f>IF(K7=0,0,0)</f>
        <v>0</v>
      </c>
    </row>
    <row r="8" spans="3:16" x14ac:dyDescent="0.15">
      <c r="C8" s="1">
        <f>IF(AND(給与所得速算表!D10&gt;=$O$9,給与所得速算表!D10&lt;=$P$9),給与所得速算表!D10,0)</f>
        <v>0</v>
      </c>
      <c r="D8" s="2">
        <f>IF(C8=0,0,C8-650000)</f>
        <v>0</v>
      </c>
      <c r="E8" s="1">
        <f>IF(AND(給与所得速算表!E10&gt;=$O$9,給与所得速算表!E10&lt;=$P$9),給与所得速算表!E10,0)</f>
        <v>0</v>
      </c>
      <c r="F8" s="2">
        <f>IF(E8=0,0,E8-650000)</f>
        <v>0</v>
      </c>
      <c r="G8" s="1">
        <f>IF(AND(給与所得速算表!F10&gt;=$O$9,給与所得速算表!F10&lt;=$P$9),給与所得速算表!F10,0)</f>
        <v>0</v>
      </c>
      <c r="H8" s="2">
        <f>IF(G8=0,0,G8-650000)</f>
        <v>0</v>
      </c>
      <c r="I8" s="1">
        <f>IF(AND(給与所得速算表!G10&gt;=$O$9,給与所得速算表!G10&lt;=$P$9),給与所得速算表!G10,0)</f>
        <v>0</v>
      </c>
      <c r="J8" s="2">
        <f>IF(I8=0,0,I8-650000)</f>
        <v>0</v>
      </c>
      <c r="K8" s="1">
        <f>IF(AND(給与所得速算表!H10&gt;=$O$9,給与所得速算表!H10&lt;=$O$9),給与所得速算表!H10,0)</f>
        <v>0</v>
      </c>
      <c r="L8" s="2">
        <f>IF(K8=0,0,K8-650000)</f>
        <v>0</v>
      </c>
      <c r="O8" s="189">
        <v>650999</v>
      </c>
      <c r="P8" s="189"/>
    </row>
    <row r="9" spans="3:16" x14ac:dyDescent="0.15">
      <c r="C9" s="1">
        <f>IF(AND(給与所得速算表!D10&gt;=$O$10,給与所得速算表!D10&lt;=$P$10),給与所得速算表!D10,0)</f>
        <v>0</v>
      </c>
      <c r="D9" s="2">
        <f>IF(C9=0,0,ROUNDDOWN(C9/4,-3)*4*0.7-80000)</f>
        <v>0</v>
      </c>
      <c r="E9" s="1">
        <f>IF(AND(給与所得速算表!E10&gt;=$O$10,給与所得速算表!E10&lt;=$P$10),給与所得速算表!E10,0)</f>
        <v>0</v>
      </c>
      <c r="F9" s="2">
        <f>IF(E9=0,0,ROUNDDOWN(E9/4,-3)*4*0.7-80000)</f>
        <v>0</v>
      </c>
      <c r="G9" s="1">
        <f>IF(AND(給与所得速算表!F10&gt;=$O$10,給与所得速算表!F10&lt;=$P$10),給与所得速算表!F10,0)</f>
        <v>0</v>
      </c>
      <c r="H9" s="2">
        <f>IF(G9=0,0,ROUNDDOWN(G9/4,-3)*4*0.7-80000)</f>
        <v>0</v>
      </c>
      <c r="I9" s="1">
        <f>IF(AND(給与所得速算表!G10&gt;=$O$10,給与所得速算表!G10&lt;=$P$10),給与所得速算表!G10,0)</f>
        <v>0</v>
      </c>
      <c r="J9" s="2">
        <f>IF(I9=0,0,ROUNDDOWN(I9/4,-3)*4*0.7-80000)</f>
        <v>0</v>
      </c>
      <c r="K9" s="1">
        <f>IF(AND(給与所得速算表!H10&gt;=$O$10,給与所得速算表!H10&lt;=$P$10),給与所得速算表!H10,0)</f>
        <v>0</v>
      </c>
      <c r="L9" s="2">
        <f>IF(K9=0,0,ROUNDDOWN(K9/4,-3)*4*0.7-80000)</f>
        <v>0</v>
      </c>
      <c r="N9" s="188" t="s">
        <v>100</v>
      </c>
      <c r="O9" s="189">
        <v>651000</v>
      </c>
      <c r="P9" s="189">
        <v>1899999</v>
      </c>
    </row>
    <row r="10" spans="3:16" x14ac:dyDescent="0.15">
      <c r="C10" s="1">
        <f>IF(AND(給与所得速算表!D10&gt;=$O$11,給与所得速算表!D10&lt;=$P$11),給与所得速算表!D10,0)</f>
        <v>0</v>
      </c>
      <c r="D10" s="2">
        <f>IF(C10=0,0,ROUNDDOWN(C10/4,-3)*4*0.8-440000)</f>
        <v>0</v>
      </c>
      <c r="E10" s="1">
        <f>IF(AND(給与所得速算表!E10&gt;=$O$11,給与所得速算表!E10&lt;=$P$11),給与所得速算表!E10,0)</f>
        <v>0</v>
      </c>
      <c r="F10" s="2">
        <f>IF(E10=0,0,ROUNDDOWN(E10/4,-3)*4*0.8-440000)</f>
        <v>0</v>
      </c>
      <c r="G10" s="1">
        <f>IF(AND(給与所得速算表!F10&gt;=$O$11,給与所得速算表!F10&lt;=$P$11),給与所得速算表!F10,0)</f>
        <v>0</v>
      </c>
      <c r="H10" s="2">
        <f>IF(G10=0,0,ROUNDDOWN(G10/4,-3)*4*0.8-440000)</f>
        <v>0</v>
      </c>
      <c r="I10" s="1">
        <f>IF(AND(給与所得速算表!G10&gt;=$O$11,給与所得速算表!G10&lt;=$P$11),給与所得速算表!G10,0)</f>
        <v>0</v>
      </c>
      <c r="J10" s="2">
        <f>IF(I10=0,0,ROUNDDOWN(I10/4,-3)*4*0.8-440000)</f>
        <v>0</v>
      </c>
      <c r="K10" s="1">
        <f>IF(AND(給与所得速算表!H10&gt;=$O$11,給与所得速算表!H10&lt;=$P$11),給与所得速算表!H10,0)</f>
        <v>0</v>
      </c>
      <c r="L10" s="2">
        <f>IF(K10=0,0,ROUNDDOWN(K10/4,-3)*4*0.8-440000)</f>
        <v>0</v>
      </c>
      <c r="N10" t="s">
        <v>101</v>
      </c>
      <c r="O10" s="189">
        <v>1900000</v>
      </c>
      <c r="P10" s="189">
        <v>3599999</v>
      </c>
    </row>
    <row r="11" spans="3:16" x14ac:dyDescent="0.15">
      <c r="C11" s="1">
        <f>IF(AND(給与所得速算表!D10&gt;=$O$12,給与所得速算表!D10&lt;=$P$12),給与所得速算表!D10,0)</f>
        <v>0</v>
      </c>
      <c r="D11" s="2">
        <f>ROUNDDOWN(IF(C11=0,0,C11*0.9-1100000),0)</f>
        <v>0</v>
      </c>
      <c r="E11" s="1">
        <f>IF(AND(給与所得速算表!E10&gt;=$O$12,給与所得速算表!E10&lt;=$P$12),給与所得速算表!E10,0)</f>
        <v>0</v>
      </c>
      <c r="F11" s="2">
        <f>ROUNDDOWN(IF(E11=0,0,E11*0.9-1100000),0)</f>
        <v>0</v>
      </c>
      <c r="G11" s="1">
        <f>IF(AND(給与所得速算表!F10&gt;=$O$12,給与所得速算表!F10&lt;=$P$12),給与所得速算表!F10,0)</f>
        <v>0</v>
      </c>
      <c r="H11" s="2">
        <f>ROUNDDOWN(IF(G11=0,0,G11*0.9-1100000),0)</f>
        <v>0</v>
      </c>
      <c r="I11" s="1">
        <f>IF(AND(給与所得速算表!G10&gt;=$O$12,給与所得速算表!G10&lt;=$P$12),給与所得速算表!G10,0)</f>
        <v>0</v>
      </c>
      <c r="J11" s="2">
        <f>ROUNDDOWN(IF(I11=0,0,I11*0.9-1100000),0)</f>
        <v>0</v>
      </c>
      <c r="K11" s="1">
        <f>IF(AND(給与所得速算表!H10&gt;=$O$12,給与所得速算表!H10&lt;=$P$12),給与所得速算表!H10,0)</f>
        <v>0</v>
      </c>
      <c r="L11" s="2">
        <f>ROUNDDOWN(IF(K11=0,0,K11*0.9-1100000),0)</f>
        <v>0</v>
      </c>
      <c r="N11" t="s">
        <v>102</v>
      </c>
      <c r="O11" s="189">
        <v>3600000</v>
      </c>
      <c r="P11" s="189">
        <v>6599999</v>
      </c>
    </row>
    <row r="12" spans="3:16" x14ac:dyDescent="0.15">
      <c r="C12" s="1">
        <f>IF(給与所得速算表!D5&gt;=8500000,給与所得速算表!D5,0)</f>
        <v>0</v>
      </c>
      <c r="D12" s="2">
        <f>ROUNDDOWN(IF(C12=0,0,C12-1950000),0)</f>
        <v>0</v>
      </c>
      <c r="E12" s="1">
        <f>IF(給与所得速算表!E5&gt;=8500000,給与所得速算表!E5,0)</f>
        <v>0</v>
      </c>
      <c r="F12" s="2">
        <f>ROUNDDOWN(IF(E12=0,0,E12-1950000),0)</f>
        <v>0</v>
      </c>
      <c r="G12" s="1">
        <f>IF(給与所得速算表!F5&gt;=8500000,給与所得速算表!F5,0)</f>
        <v>0</v>
      </c>
      <c r="H12" s="2">
        <f>ROUNDDOWN(IF(G12=0,0,G12-1950000),0)</f>
        <v>0</v>
      </c>
      <c r="I12" s="1">
        <f>IF(給与所得速算表!G5&gt;=8500000,給与所得速算表!G5,0)</f>
        <v>0</v>
      </c>
      <c r="J12" s="2">
        <f>ROUNDDOWN(IF(I12=0,0,I12-1950000),0)</f>
        <v>0</v>
      </c>
      <c r="K12" s="1">
        <f>IF(給与所得速算表!H5&gt;=8500000,給与所得速算表!H5,0)</f>
        <v>0</v>
      </c>
      <c r="L12" s="2">
        <f>ROUNDDOWN(IF(K12=0,0,K12-1950000),0)</f>
        <v>0</v>
      </c>
      <c r="N12" t="s">
        <v>103</v>
      </c>
      <c r="O12" s="189">
        <v>6600000</v>
      </c>
      <c r="P12" s="189">
        <v>8499999</v>
      </c>
    </row>
    <row r="13" spans="3:16" x14ac:dyDescent="0.15">
      <c r="C13" s="1"/>
      <c r="D13" s="2"/>
      <c r="E13" s="1"/>
      <c r="F13" s="2"/>
      <c r="G13" s="1"/>
      <c r="H13" s="2"/>
      <c r="I13" s="1"/>
      <c r="J13" s="2"/>
      <c r="K13" s="1"/>
      <c r="L13" s="2"/>
      <c r="N13" s="188" t="s">
        <v>104</v>
      </c>
      <c r="O13" s="189">
        <v>8500000</v>
      </c>
      <c r="P13" s="189"/>
    </row>
    <row r="14" spans="3:16" x14ac:dyDescent="0.15">
      <c r="C14" s="1"/>
      <c r="D14" s="2"/>
      <c r="E14" s="1"/>
      <c r="F14" s="2"/>
      <c r="G14" s="1"/>
      <c r="H14" s="2"/>
      <c r="I14" s="1"/>
      <c r="J14" s="2"/>
      <c r="K14" s="1"/>
      <c r="L14" s="2"/>
    </row>
    <row r="15" spans="3:16" ht="14.25" thickBot="1" x14ac:dyDescent="0.2">
      <c r="C15" s="172"/>
      <c r="D15" s="173"/>
      <c r="E15" s="172"/>
      <c r="F15" s="173"/>
      <c r="G15" s="172"/>
      <c r="H15" s="173"/>
      <c r="I15" s="172"/>
      <c r="J15" s="173"/>
      <c r="K15" s="172"/>
      <c r="L15" s="173"/>
    </row>
    <row r="16" spans="3:16" x14ac:dyDescent="0.15">
      <c r="C16" s="174"/>
      <c r="D16" s="171"/>
      <c r="E16" s="170"/>
      <c r="F16" s="171"/>
      <c r="G16" s="170"/>
      <c r="H16" s="171"/>
      <c r="I16" s="170"/>
      <c r="J16" s="171"/>
      <c r="K16" s="170"/>
      <c r="L16" s="171"/>
    </row>
    <row r="17" spans="2:12" x14ac:dyDescent="0.15">
      <c r="C17" s="1">
        <f>IF(給与所得速算表!D10&gt;=8500000,給与所得速算表!D10,0)</f>
        <v>0</v>
      </c>
      <c r="D17" s="2">
        <f>ROUNDDOWN(IF(C17=0,0,C17-1950000),0)</f>
        <v>0</v>
      </c>
      <c r="E17" s="1">
        <f>IF(給与所得速算表!E10&gt;=8500000,給与所得速算表!E10,0)</f>
        <v>0</v>
      </c>
      <c r="F17" s="2">
        <f>ROUNDDOWN(IF(E17=0,0,E17-1950000),0)</f>
        <v>0</v>
      </c>
      <c r="G17" s="1">
        <f>IF(給与所得速算表!F10&gt;=8500000,給与所得速算表!F10,0)</f>
        <v>0</v>
      </c>
      <c r="H17" s="2">
        <f>ROUNDDOWN(IF(G17=0,0,G17-1950000),0)</f>
        <v>0</v>
      </c>
      <c r="I17" s="1">
        <f>IF(給与所得速算表!G10&gt;=8500000,給与所得速算表!G10,0)</f>
        <v>0</v>
      </c>
      <c r="J17" s="2">
        <f>ROUNDDOWN(IF(I17=0,0,I17-1950000),0)</f>
        <v>0</v>
      </c>
      <c r="K17" s="1">
        <f>IF(給与所得速算表!H10&gt;=8500000,給与所得速算表!H10,0)</f>
        <v>0</v>
      </c>
      <c r="L17" s="2">
        <f>ROUNDDOWN(IF(K17=0,0,K17-1950000),0)</f>
        <v>0</v>
      </c>
    </row>
    <row r="18" spans="2:12" x14ac:dyDescent="0.15">
      <c r="C18" s="1"/>
      <c r="D18" s="2"/>
      <c r="E18" s="1"/>
      <c r="F18" s="2"/>
      <c r="G18" s="1"/>
      <c r="H18" s="2"/>
      <c r="I18" s="1"/>
      <c r="J18" s="2"/>
      <c r="K18" s="1"/>
      <c r="L18" s="2"/>
    </row>
    <row r="19" spans="2:12" x14ac:dyDescent="0.15">
      <c r="C19" s="1"/>
      <c r="D19" s="2"/>
      <c r="E19" s="1"/>
      <c r="F19" s="2"/>
      <c r="G19" s="1"/>
      <c r="H19" s="2"/>
      <c r="I19" s="1"/>
      <c r="J19" s="2"/>
      <c r="K19" s="1"/>
      <c r="L19" s="2"/>
    </row>
    <row r="20" spans="2:12" x14ac:dyDescent="0.15">
      <c r="C20" s="1"/>
      <c r="D20" s="73"/>
      <c r="E20" s="1"/>
      <c r="F20" s="2"/>
      <c r="G20" s="1"/>
      <c r="H20" s="2"/>
      <c r="I20" s="1"/>
      <c r="J20" s="2"/>
      <c r="K20" s="1"/>
      <c r="L20" s="2"/>
    </row>
    <row r="21" spans="2:12" x14ac:dyDescent="0.15">
      <c r="C21" s="57"/>
      <c r="D21" s="73"/>
      <c r="E21" s="57"/>
      <c r="F21" s="73"/>
      <c r="G21" s="57"/>
      <c r="H21" s="73"/>
      <c r="I21" s="57"/>
      <c r="J21" s="73"/>
      <c r="K21" s="57"/>
      <c r="L21" s="73"/>
    </row>
    <row r="22" spans="2:12" x14ac:dyDescent="0.15">
      <c r="C22" t="s">
        <v>90</v>
      </c>
      <c r="D22" s="3">
        <f>SUM(D7:D21)</f>
        <v>0</v>
      </c>
      <c r="F22" s="3">
        <f>SUM(F7:F21)</f>
        <v>0</v>
      </c>
      <c r="H22" s="3">
        <f>SUM(H7:H21)</f>
        <v>0</v>
      </c>
      <c r="J22" s="3">
        <f>SUM(J7:J21)</f>
        <v>0</v>
      </c>
      <c r="L22" s="3">
        <f>SUM(L7:L21)</f>
        <v>0</v>
      </c>
    </row>
    <row r="23" spans="2:12" x14ac:dyDescent="0.15">
      <c r="C23" t="s">
        <v>91</v>
      </c>
      <c r="D23" s="175">
        <f>ROUNDDOWN(D22*0.3,0)</f>
        <v>0</v>
      </c>
      <c r="F23" s="12">
        <f>ROUNDDOWN(F22*0.3,0)</f>
        <v>0</v>
      </c>
      <c r="H23" s="12">
        <f>ROUNDDOWN(H22*0.3,0)</f>
        <v>0</v>
      </c>
      <c r="J23" s="12">
        <f>ROUNDDOWN(J22*0.3,0)</f>
        <v>0</v>
      </c>
      <c r="L23" s="12">
        <f>ROUNDDOWN(L22*0.3,0)</f>
        <v>0</v>
      </c>
    </row>
    <row r="24" spans="2:12" x14ac:dyDescent="0.15">
      <c r="C24" s="78" t="s">
        <v>75</v>
      </c>
      <c r="D24" s="78"/>
      <c r="E24" s="78"/>
      <c r="F24" s="78"/>
      <c r="G24" s="78"/>
      <c r="H24" s="78"/>
      <c r="I24" s="78"/>
    </row>
    <row r="25" spans="2:12" x14ac:dyDescent="0.15">
      <c r="B25" s="68" t="s">
        <v>73</v>
      </c>
      <c r="C25" s="69">
        <f>IF(D22&gt;100000,100000,D22)</f>
        <v>0</v>
      </c>
      <c r="D25" s="74">
        <f>IF(C27&lt;=100000,0,0)</f>
        <v>0</v>
      </c>
      <c r="E25" s="72">
        <f>IF(F22&gt;100000,100000,F22)</f>
        <v>0</v>
      </c>
      <c r="F25" s="74">
        <f>IF(E27&lt;=100000,0,0)</f>
        <v>0</v>
      </c>
      <c r="G25" s="72">
        <f>IF(H22&gt;100000,100000,H22)</f>
        <v>0</v>
      </c>
      <c r="H25" s="74">
        <f>IF(G27&lt;=100000,0,0)</f>
        <v>0</v>
      </c>
      <c r="I25" s="72">
        <f>IF(J22&gt;100000,100000,J22)</f>
        <v>0</v>
      </c>
      <c r="J25" s="74">
        <f>IF(I27&lt;=100000,0,0)</f>
        <v>0</v>
      </c>
      <c r="K25" s="72">
        <f>IF(L22&gt;100000,100000,L22)</f>
        <v>0</v>
      </c>
      <c r="L25" s="74">
        <f>IF(K27&lt;=100000,0,0)</f>
        <v>0</v>
      </c>
    </row>
    <row r="26" spans="2:12" x14ac:dyDescent="0.15">
      <c r="B26" s="68" t="s">
        <v>74</v>
      </c>
      <c r="C26" s="70">
        <f>IF(年金所得速算表!G9&gt;100000,100000,年金所得速算表!G9)</f>
        <v>0</v>
      </c>
      <c r="D26" s="75">
        <f>IF(C27&gt;100000,C27-100000,0)</f>
        <v>0</v>
      </c>
      <c r="E26" s="70">
        <f>IF(年金所得速算表!H9&gt;100000,100000,年金所得速算表!H9)</f>
        <v>0</v>
      </c>
      <c r="F26" s="75">
        <f>IF(E27&gt;100000,E27-100000,0)</f>
        <v>0</v>
      </c>
      <c r="G26" s="70">
        <f>IF(年金所得速算表!I9&gt;100000,100000,年金所得速算表!I9)</f>
        <v>0</v>
      </c>
      <c r="H26" s="75">
        <f>IF(G27&gt;100000,G27-100000,0)</f>
        <v>0</v>
      </c>
      <c r="I26" s="70">
        <f>IF(年金所得速算表!J9&gt;100000,100000,年金所得速算表!J9)</f>
        <v>0</v>
      </c>
      <c r="J26" s="75">
        <f>IF(I27&gt;100000,I27-100000,0)</f>
        <v>0</v>
      </c>
      <c r="K26" s="70">
        <f>IF(年金所得速算表!K9&gt;100000,100000,年金所得速算表!K9)</f>
        <v>0</v>
      </c>
      <c r="L26" s="75">
        <f>IF(K27&gt;100000,K27-100000,0)</f>
        <v>0</v>
      </c>
    </row>
    <row r="27" spans="2:12" x14ac:dyDescent="0.15">
      <c r="B27" s="68" t="s">
        <v>72</v>
      </c>
      <c r="C27" s="71">
        <f>C25+C26</f>
        <v>0</v>
      </c>
      <c r="D27" s="76">
        <f>IF(D25+D26&gt;100000,100000,D25+D26)</f>
        <v>0</v>
      </c>
      <c r="E27" s="71">
        <f>E25+E26</f>
        <v>0</v>
      </c>
      <c r="F27" s="76">
        <f>IF(F25+F26&gt;100000,100000,F25+F26)</f>
        <v>0</v>
      </c>
      <c r="G27" s="71">
        <f>G25+G26</f>
        <v>0</v>
      </c>
      <c r="H27" s="76">
        <f>IF(H25+H26&gt;100000,100000,H25+H26)</f>
        <v>0</v>
      </c>
      <c r="I27" s="71">
        <f>I25+I26</f>
        <v>0</v>
      </c>
      <c r="J27" s="76">
        <f>IF(J25+J26&gt;100000,100000,J25+J26)</f>
        <v>0</v>
      </c>
      <c r="K27" s="71">
        <f>K25+K26</f>
        <v>0</v>
      </c>
      <c r="L27" s="76">
        <f>IF(L25+L26&gt;100000,100000,L25+L26)</f>
        <v>0</v>
      </c>
    </row>
    <row r="28" spans="2:12" x14ac:dyDescent="0.15">
      <c r="D28" s="3">
        <f>IF(入力シート!D6=9,D23-D27,D22-D27)</f>
        <v>0</v>
      </c>
      <c r="F28" s="3">
        <f>IF(入力シート!E6=9,F23-F27,F22-F27)</f>
        <v>0</v>
      </c>
      <c r="H28" s="3">
        <f>IF(入力シート!F6=9,H23-H27,H22-H27)</f>
        <v>0</v>
      </c>
      <c r="J28" s="3">
        <f>IF(入力シート!G6=9,J23-J27,J22-J27)</f>
        <v>0</v>
      </c>
      <c r="L28" s="3">
        <f>IF(入力シート!H6=9,L23-L27,L22-L27)</f>
        <v>0</v>
      </c>
    </row>
  </sheetData>
  <phoneticPr fontId="3"/>
  <pageMargins left="0.75" right="0.75" top="1" bottom="1" header="0.51200000000000001" footer="0.51200000000000001"/>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C3:H11"/>
  <sheetViews>
    <sheetView workbookViewId="0">
      <selection activeCell="E10" sqref="E10"/>
    </sheetView>
  </sheetViews>
  <sheetFormatPr defaultRowHeight="13.5" x14ac:dyDescent="0.15"/>
  <cols>
    <col min="1" max="1" width="5.5" customWidth="1"/>
    <col min="4" max="4" width="16.375" customWidth="1"/>
    <col min="5" max="8" width="10" customWidth="1"/>
  </cols>
  <sheetData>
    <row r="3" spans="3:8" ht="18.75" x14ac:dyDescent="0.2">
      <c r="C3" s="5" t="s">
        <v>2</v>
      </c>
    </row>
    <row r="9" spans="3:8" ht="19.5" customHeight="1" x14ac:dyDescent="0.15">
      <c r="D9" s="4" t="s">
        <v>3</v>
      </c>
      <c r="E9" s="4" t="s">
        <v>4</v>
      </c>
      <c r="F9" s="4" t="s">
        <v>5</v>
      </c>
      <c r="G9" s="4" t="s">
        <v>6</v>
      </c>
      <c r="H9" s="4" t="s">
        <v>7</v>
      </c>
    </row>
    <row r="10" spans="3:8" ht="20.25" customHeight="1" x14ac:dyDescent="0.15">
      <c r="C10" s="4" t="s">
        <v>8</v>
      </c>
      <c r="D10" s="66">
        <f>入力シート!D11</f>
        <v>0</v>
      </c>
      <c r="E10" s="66">
        <f>入力シート!E11</f>
        <v>0</v>
      </c>
      <c r="F10" s="66">
        <f>入力シート!F11</f>
        <v>0</v>
      </c>
      <c r="G10" s="66">
        <f>入力シート!G11</f>
        <v>0</v>
      </c>
      <c r="H10" s="66">
        <f>入力シート!H11</f>
        <v>0</v>
      </c>
    </row>
    <row r="11" spans="3:8" ht="20.25" customHeight="1" x14ac:dyDescent="0.15">
      <c r="C11" s="4" t="s">
        <v>9</v>
      </c>
      <c r="D11" s="66">
        <f>給与計算ｼｰﾄ!D28</f>
        <v>0</v>
      </c>
      <c r="E11" s="66">
        <f>給与計算ｼｰﾄ!F28</f>
        <v>0</v>
      </c>
      <c r="F11" s="66">
        <f>給与計算ｼｰﾄ!H28</f>
        <v>0</v>
      </c>
      <c r="G11" s="66">
        <f>給与計算ｼｰﾄ!J28</f>
        <v>0</v>
      </c>
      <c r="H11" s="66">
        <f>給与計算ｼｰﾄ!L28</f>
        <v>0</v>
      </c>
    </row>
  </sheetData>
  <phoneticPr fontId="3"/>
  <pageMargins left="0.75" right="0.75" top="1" bottom="1" header="0.51200000000000001" footer="0.51200000000000001"/>
  <pageSetup paperSize="9"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3</vt:i4>
      </vt:variant>
    </vt:vector>
  </HeadingPairs>
  <TitlesOfParts>
    <vt:vector size="15" baseType="lpstr">
      <vt:lpstr>はじめに</vt:lpstr>
      <vt:lpstr>収入・所得の入力について</vt:lpstr>
      <vt:lpstr>入力シート</vt:lpstr>
      <vt:lpstr>はじめに（元データ）</vt:lpstr>
      <vt:lpstr>所得の入力について（元データ）</vt:lpstr>
      <vt:lpstr>印刷シート</vt:lpstr>
      <vt:lpstr>国保計算</vt:lpstr>
      <vt:lpstr>給与計算ｼｰﾄ</vt:lpstr>
      <vt:lpstr>給与所得速算表</vt:lpstr>
      <vt:lpstr>年金計算ｼｰﾄ</vt:lpstr>
      <vt:lpstr>ｴﾗｰﾁｪｯｸ</vt:lpstr>
      <vt:lpstr>年金所得速算表</vt:lpstr>
      <vt:lpstr>印刷シート!Print_Area</vt:lpstr>
      <vt:lpstr>収入・所得の入力について!Print_Area</vt:lpstr>
      <vt:lpstr>入力シート!Print_Area</vt:lpstr>
    </vt:vector>
  </TitlesOfParts>
  <Company>所沢市役所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税額シュミレーション（１９年度）</dc:title>
  <dc:creator>04957</dc:creator>
  <dc:description>後期高齢者医療制度の創設、非自発的失業者の軽減措置、税率改定など諸々の変更に対応できるよう改修を施した。</dc:description>
  <cp:lastModifiedBy>所沢市</cp:lastModifiedBy>
  <cp:lastPrinted>2026-02-26T06:30:41Z</cp:lastPrinted>
  <dcterms:created xsi:type="dcterms:W3CDTF">2002-08-27T02:45:46Z</dcterms:created>
  <dcterms:modified xsi:type="dcterms:W3CDTF">2026-04-16T07:05:21Z</dcterms:modified>
</cp:coreProperties>
</file>